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theme/themeOverride1.xml" ContentType="application/vnd.openxmlformats-officedocument.themeOverrid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2.xml" ContentType="application/vnd.openxmlformats-officedocument.themeOverrid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heme/themeOverride3.xml" ContentType="application/vnd.openxmlformats-officedocument.themeOverrid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4.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theme/themeOverride5.xml" ContentType="application/vnd.openxmlformats-officedocument.themeOverrid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theme/themeOverride6.xml" ContentType="application/vnd.openxmlformats-officedocument.themeOverrid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7.xml" ContentType="application/vnd.openxmlformats-officedocument.themeOverrid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theme/themeOverride8.xml" ContentType="application/vnd.openxmlformats-officedocument.themeOverrid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theme/themeOverride9.xml" ContentType="application/vnd.openxmlformats-officedocument.themeOverrid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theme/themeOverride10.xml" ContentType="application/vnd.openxmlformats-officedocument.themeOverrid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theme/themeOverride11.xml" ContentType="application/vnd.openxmlformats-officedocument.themeOverrid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theme/themeOverride12.xml" ContentType="application/vnd.openxmlformats-officedocument.themeOverrid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2.xml" ContentType="application/vnd.openxmlformats-officedocument.drawing+xml"/>
  <Override PartName="/xl/comments1.xml" ContentType="application/vnd.openxmlformats-officedocument.spreadsheetml.comments+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harts/chart68.xml" ContentType="application/vnd.openxmlformats-officedocument.drawingml.chart+xml"/>
  <Override PartName="/xl/charts/style68.xml" ContentType="application/vnd.ms-office.chartstyle+xml"/>
  <Override PartName="/xl/charts/colors6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Casa\Desktop\"/>
    </mc:Choice>
  </mc:AlternateContent>
  <xr:revisionPtr revIDLastSave="0" documentId="13_ncr:1_{FAA48FB9-5786-4571-928A-26E8BBAA2B91}" xr6:coauthVersionLast="47" xr6:coauthVersionMax="47" xr10:uidLastSave="{00000000-0000-0000-0000-000000000000}"/>
  <bookViews>
    <workbookView xWindow="-108" yWindow="-108" windowWidth="23256" windowHeight="12456" tabRatio="603" xr2:uid="{2371361F-54DF-49ED-B476-4D23B5BA2C7B}"/>
  </bookViews>
  <sheets>
    <sheet name="Analisi dati, formula corretta" sheetId="7" r:id="rId1"/>
    <sheet name="Confronto delle emissioni" sheetId="8"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G184" i="7" l="1"/>
  <c r="DG173" i="7"/>
  <c r="DG172" i="7"/>
  <c r="CX9" i="7"/>
  <c r="CE8" i="7"/>
  <c r="DB10" i="7"/>
  <c r="CY9" i="7"/>
  <c r="CP9" i="7"/>
  <c r="DB9" i="7" s="1"/>
  <c r="CQ9" i="7"/>
  <c r="CR9" i="7"/>
  <c r="FP145" i="7"/>
  <c r="DZ56" i="7"/>
  <c r="DZ55" i="7"/>
  <c r="DG135" i="7"/>
  <c r="DG136" i="7"/>
  <c r="BQ213" i="7"/>
  <c r="BQ212" i="7"/>
  <c r="R225" i="7"/>
  <c r="R224" i="7"/>
  <c r="R223" i="7"/>
  <c r="S174" i="7"/>
  <c r="S173" i="7"/>
  <c r="K11" i="7"/>
  <c r="S153" i="7"/>
  <c r="T139" i="7"/>
  <c r="AT57" i="7"/>
  <c r="AS64" i="7"/>
  <c r="AT55" i="7"/>
  <c r="BB59" i="7"/>
  <c r="BA59" i="7"/>
  <c r="AZ59" i="7"/>
  <c r="T138" i="7"/>
  <c r="DW47" i="7"/>
  <c r="DW46" i="7"/>
  <c r="DW45" i="7"/>
  <c r="DW44" i="7"/>
  <c r="DW43" i="7"/>
  <c r="DW40" i="7"/>
  <c r="DW41" i="7"/>
  <c r="DW36" i="7"/>
  <c r="DW30" i="7"/>
  <c r="DW18" i="7"/>
  <c r="DW17" i="7"/>
  <c r="DW16" i="7"/>
  <c r="DW15" i="7"/>
  <c r="DW14" i="7"/>
  <c r="DW13" i="7"/>
  <c r="DW12" i="7"/>
  <c r="DW11" i="7"/>
  <c r="DW10" i="7"/>
  <c r="DW9" i="7"/>
  <c r="DW8" i="7"/>
  <c r="DW7" i="7"/>
  <c r="DW6" i="7"/>
  <c r="DW4" i="7"/>
  <c r="DV5" i="7"/>
  <c r="DW5" i="7"/>
  <c r="DW19" i="7"/>
  <c r="DW20" i="7"/>
  <c r="DW21" i="7"/>
  <c r="DW22" i="7"/>
  <c r="DW23" i="7"/>
  <c r="DW24" i="7"/>
  <c r="DW25" i="7"/>
  <c r="DW26" i="7"/>
  <c r="DW27" i="7"/>
  <c r="DW28" i="7"/>
  <c r="DW29" i="7"/>
  <c r="DW31" i="7"/>
  <c r="DW32" i="7"/>
  <c r="DW33" i="7"/>
  <c r="DW34" i="7"/>
  <c r="DW35" i="7"/>
  <c r="DW37" i="7"/>
  <c r="DW38" i="7"/>
  <c r="DW39" i="7"/>
  <c r="DW42" i="7"/>
  <c r="DW48" i="7"/>
  <c r="DW49" i="7"/>
  <c r="DW50" i="7"/>
  <c r="DW51" i="7"/>
  <c r="DW52" i="7"/>
  <c r="CZ48" i="7"/>
  <c r="CZ52" i="7"/>
  <c r="CZ51" i="7"/>
  <c r="CZ50" i="7"/>
  <c r="CZ49" i="7"/>
  <c r="CZ47" i="7"/>
  <c r="CZ46" i="7"/>
  <c r="CZ45" i="7"/>
  <c r="CZ44" i="7"/>
  <c r="CZ43" i="7"/>
  <c r="CZ42" i="7"/>
  <c r="CZ41" i="7"/>
  <c r="CZ40" i="7"/>
  <c r="CZ39" i="7"/>
  <c r="CZ38" i="7"/>
  <c r="CZ37" i="7"/>
  <c r="CZ36" i="7"/>
  <c r="CZ35" i="7"/>
  <c r="CZ34" i="7"/>
  <c r="CZ33" i="7"/>
  <c r="CZ32" i="7"/>
  <c r="CZ31" i="7"/>
  <c r="CZ30" i="7"/>
  <c r="CZ29" i="7"/>
  <c r="CZ28" i="7"/>
  <c r="CZ27" i="7"/>
  <c r="CZ26" i="7"/>
  <c r="CZ25" i="7"/>
  <c r="CZ24" i="7"/>
  <c r="CZ22" i="7"/>
  <c r="CZ21" i="7"/>
  <c r="CZ20" i="7"/>
  <c r="CZ19" i="7"/>
  <c r="CZ18" i="7"/>
  <c r="CZ17" i="7"/>
  <c r="CZ16" i="7"/>
  <c r="CZ15" i="7"/>
  <c r="CZ14" i="7"/>
  <c r="CZ13" i="7"/>
  <c r="CZ12" i="7"/>
  <c r="CZ10" i="7"/>
  <c r="CZ8" i="7"/>
  <c r="CZ7" i="7"/>
  <c r="CZ6" i="7"/>
  <c r="CZ5" i="7"/>
  <c r="CZ4" i="7"/>
  <c r="CC52" i="7"/>
  <c r="CC51" i="7"/>
  <c r="CC50" i="7"/>
  <c r="CC49" i="7"/>
  <c r="CC48" i="7"/>
  <c r="CC47" i="7"/>
  <c r="CC46" i="7"/>
  <c r="CC45" i="7"/>
  <c r="CC44" i="7"/>
  <c r="CC43" i="7"/>
  <c r="CC42" i="7"/>
  <c r="CC41" i="7"/>
  <c r="CC40" i="7"/>
  <c r="CC39" i="7"/>
  <c r="CC38" i="7"/>
  <c r="CC37" i="7"/>
  <c r="CC36" i="7"/>
  <c r="CC35" i="7"/>
  <c r="CC34" i="7"/>
  <c r="CC33" i="7"/>
  <c r="CC32" i="7"/>
  <c r="CC31" i="7"/>
  <c r="CC30" i="7"/>
  <c r="CC29" i="7"/>
  <c r="CC28" i="7"/>
  <c r="CC27" i="7"/>
  <c r="CC26" i="7"/>
  <c r="CC25" i="7"/>
  <c r="CC24" i="7"/>
  <c r="CC23" i="7"/>
  <c r="CC22" i="7"/>
  <c r="CC21" i="7"/>
  <c r="CC20" i="7"/>
  <c r="CC19" i="7"/>
  <c r="CC18" i="7"/>
  <c r="CC17" i="7"/>
  <c r="CC16" i="7"/>
  <c r="CC15" i="7"/>
  <c r="CC14" i="7"/>
  <c r="CC13" i="7"/>
  <c r="CC12" i="7"/>
  <c r="CC10" i="7"/>
  <c r="CC9" i="7"/>
  <c r="CC8" i="7"/>
  <c r="CC7" i="7"/>
  <c r="CC6" i="7"/>
  <c r="CC5" i="7"/>
  <c r="CC4" i="7"/>
  <c r="CB4" i="7"/>
  <c r="BD52" i="7"/>
  <c r="BD51" i="7"/>
  <c r="BD50" i="7"/>
  <c r="BD48" i="7"/>
  <c r="BD44" i="7"/>
  <c r="BD43" i="7"/>
  <c r="BD42" i="7"/>
  <c r="BD41" i="7"/>
  <c r="BD40" i="7"/>
  <c r="BD14" i="7"/>
  <c r="BD4" i="7"/>
  <c r="BD5" i="7"/>
  <c r="BD6" i="7"/>
  <c r="BD7" i="7"/>
  <c r="BD8" i="7"/>
  <c r="BD9" i="7"/>
  <c r="BD10" i="7"/>
  <c r="BD12" i="7"/>
  <c r="BD13" i="7"/>
  <c r="BD15" i="7"/>
  <c r="BD16" i="7"/>
  <c r="BD17" i="7"/>
  <c r="BD18" i="7"/>
  <c r="BD19" i="7"/>
  <c r="BD20" i="7"/>
  <c r="BD21" i="7"/>
  <c r="BD22" i="7"/>
  <c r="BD23" i="7"/>
  <c r="BD24" i="7"/>
  <c r="BD25" i="7"/>
  <c r="BD26" i="7"/>
  <c r="BD27" i="7"/>
  <c r="BD28" i="7"/>
  <c r="BD29" i="7"/>
  <c r="BD30" i="7"/>
  <c r="BD31" i="7"/>
  <c r="BD32" i="7"/>
  <c r="BD33" i="7"/>
  <c r="BD34" i="7"/>
  <c r="BD35" i="7"/>
  <c r="BD36" i="7"/>
  <c r="BD37" i="7"/>
  <c r="BD38" i="7"/>
  <c r="BD39" i="7"/>
  <c r="BD45" i="7"/>
  <c r="BD46" i="7"/>
  <c r="BD47" i="7"/>
  <c r="BD49" i="7"/>
  <c r="DV6" i="7"/>
  <c r="DV7" i="7"/>
  <c r="DV8" i="7"/>
  <c r="DV9" i="7"/>
  <c r="DV10" i="7"/>
  <c r="DV11" i="7"/>
  <c r="DV12" i="7"/>
  <c r="DV13" i="7"/>
  <c r="DV14" i="7"/>
  <c r="DV15" i="7"/>
  <c r="DV16" i="7"/>
  <c r="DV17" i="7"/>
  <c r="DV18" i="7"/>
  <c r="DV19" i="7"/>
  <c r="DV20" i="7"/>
  <c r="DV21" i="7"/>
  <c r="DV22" i="7"/>
  <c r="DV23" i="7"/>
  <c r="DV24" i="7"/>
  <c r="DV25" i="7"/>
  <c r="DV26" i="7"/>
  <c r="DV27" i="7"/>
  <c r="DV28" i="7"/>
  <c r="DV29" i="7"/>
  <c r="DV30" i="7"/>
  <c r="DV31" i="7"/>
  <c r="DV32" i="7"/>
  <c r="DV33" i="7"/>
  <c r="DV34" i="7"/>
  <c r="DV35" i="7"/>
  <c r="DV36" i="7"/>
  <c r="DV37" i="7"/>
  <c r="DV38" i="7"/>
  <c r="DV39" i="7"/>
  <c r="DV40" i="7"/>
  <c r="DV41" i="7"/>
  <c r="DV42" i="7"/>
  <c r="DV43" i="7"/>
  <c r="DV44" i="7"/>
  <c r="DV45" i="7"/>
  <c r="DV46" i="7"/>
  <c r="DV47" i="7"/>
  <c r="DV48" i="7"/>
  <c r="DV49" i="7"/>
  <c r="DV50" i="7"/>
  <c r="DV51" i="7"/>
  <c r="DV52" i="7"/>
  <c r="DV4" i="7"/>
  <c r="CY15" i="7"/>
  <c r="CY52" i="7"/>
  <c r="CY5" i="7"/>
  <c r="CY6" i="7"/>
  <c r="CY7" i="7"/>
  <c r="CY8" i="7"/>
  <c r="CY10" i="7"/>
  <c r="CY11" i="7"/>
  <c r="CY12" i="7"/>
  <c r="CY13" i="7"/>
  <c r="CY14" i="7"/>
  <c r="CY16" i="7"/>
  <c r="CY17" i="7"/>
  <c r="CY18" i="7"/>
  <c r="CY19" i="7"/>
  <c r="CY20" i="7"/>
  <c r="CY21" i="7"/>
  <c r="CY22" i="7"/>
  <c r="CY23" i="7"/>
  <c r="CY24" i="7"/>
  <c r="CY25" i="7"/>
  <c r="CY26" i="7"/>
  <c r="CY27" i="7"/>
  <c r="CY28" i="7"/>
  <c r="CY29" i="7"/>
  <c r="CY30" i="7"/>
  <c r="CY31" i="7"/>
  <c r="CY32" i="7"/>
  <c r="CY33" i="7"/>
  <c r="CY34" i="7"/>
  <c r="CY35" i="7"/>
  <c r="CY36" i="7"/>
  <c r="CY37" i="7"/>
  <c r="CY38" i="7"/>
  <c r="CY39" i="7"/>
  <c r="CY40" i="7"/>
  <c r="CY41" i="7"/>
  <c r="CY42" i="7"/>
  <c r="CY43" i="7"/>
  <c r="CY44" i="7"/>
  <c r="CY45" i="7"/>
  <c r="CY46" i="7"/>
  <c r="CY47" i="7"/>
  <c r="CY48" i="7"/>
  <c r="CY49" i="7"/>
  <c r="CY50" i="7"/>
  <c r="CY51" i="7"/>
  <c r="CY4" i="7"/>
  <c r="CB37" i="7"/>
  <c r="CB5" i="7"/>
  <c r="CB6" i="7"/>
  <c r="CB7" i="7"/>
  <c r="CB8" i="7"/>
  <c r="CB9" i="7"/>
  <c r="CB10" i="7"/>
  <c r="CB11" i="7"/>
  <c r="CB12" i="7"/>
  <c r="CB13" i="7"/>
  <c r="CB14" i="7"/>
  <c r="CB15" i="7"/>
  <c r="CB16" i="7"/>
  <c r="CB17" i="7"/>
  <c r="CB18" i="7"/>
  <c r="CB19" i="7"/>
  <c r="CB20" i="7"/>
  <c r="CB21" i="7"/>
  <c r="CB22" i="7"/>
  <c r="CB23" i="7"/>
  <c r="CB24" i="7"/>
  <c r="CB25" i="7"/>
  <c r="CB26" i="7"/>
  <c r="CB27" i="7"/>
  <c r="CB28" i="7"/>
  <c r="CB29" i="7"/>
  <c r="CB30" i="7"/>
  <c r="CB31" i="7"/>
  <c r="CB32" i="7"/>
  <c r="CB33" i="7"/>
  <c r="CB34" i="7"/>
  <c r="CB35" i="7"/>
  <c r="CB36" i="7"/>
  <c r="CB38" i="7"/>
  <c r="CB39" i="7"/>
  <c r="CB40" i="7"/>
  <c r="CB41" i="7"/>
  <c r="CB42" i="7"/>
  <c r="CB43" i="7"/>
  <c r="CB44" i="7"/>
  <c r="CB45" i="7"/>
  <c r="CB46" i="7"/>
  <c r="CB47" i="7"/>
  <c r="CB48" i="7"/>
  <c r="CB49" i="7"/>
  <c r="CB50" i="7"/>
  <c r="CB51" i="7"/>
  <c r="CB52" i="7"/>
  <c r="BC5" i="7"/>
  <c r="BC6" i="7"/>
  <c r="BC7" i="7"/>
  <c r="BC8" i="7"/>
  <c r="BC9" i="7"/>
  <c r="BC10" i="7"/>
  <c r="BC11" i="7"/>
  <c r="BC12" i="7"/>
  <c r="BC13" i="7"/>
  <c r="BC14" i="7"/>
  <c r="BC15" i="7"/>
  <c r="BC16" i="7"/>
  <c r="BC17" i="7"/>
  <c r="BC18" i="7"/>
  <c r="BC19" i="7"/>
  <c r="BC20" i="7"/>
  <c r="BC21" i="7"/>
  <c r="BC22" i="7"/>
  <c r="BC23" i="7"/>
  <c r="BC24" i="7"/>
  <c r="BC25" i="7"/>
  <c r="BC26" i="7"/>
  <c r="BC27" i="7"/>
  <c r="BC28" i="7"/>
  <c r="BC29" i="7"/>
  <c r="BC30" i="7"/>
  <c r="BC31" i="7"/>
  <c r="BC32" i="7"/>
  <c r="BC33" i="7"/>
  <c r="BC34" i="7"/>
  <c r="BC35" i="7"/>
  <c r="BC37" i="7"/>
  <c r="BC38" i="7"/>
  <c r="BC39" i="7"/>
  <c r="BC41" i="7"/>
  <c r="BC42" i="7"/>
  <c r="BC43" i="7"/>
  <c r="BC44" i="7"/>
  <c r="BC45" i="7"/>
  <c r="BC46" i="7"/>
  <c r="BC47" i="7"/>
  <c r="BC48" i="7"/>
  <c r="BC49" i="7"/>
  <c r="BC50" i="7"/>
  <c r="BC51" i="7"/>
  <c r="BC52" i="7"/>
  <c r="BC4" i="7"/>
  <c r="CZ9" i="7" l="1"/>
  <c r="DA9" i="7"/>
  <c r="M9" i="7"/>
  <c r="N9" i="7" s="1"/>
  <c r="A63" i="7"/>
  <c r="A62" i="7"/>
  <c r="Z51" i="7"/>
  <c r="AY51" i="7" s="1"/>
  <c r="Z50" i="7"/>
  <c r="BX51" i="7" l="1"/>
  <c r="CU51" i="7"/>
  <c r="AP40" i="7"/>
  <c r="K40" i="7"/>
  <c r="K39" i="7"/>
  <c r="W9" i="7" l="1"/>
  <c r="CT9" i="7" s="1"/>
  <c r="T9" i="7"/>
  <c r="CS9" i="7" s="1"/>
  <c r="K9" i="7"/>
  <c r="DX9" i="7"/>
  <c r="BL53" i="7"/>
  <c r="DE53" i="7"/>
  <c r="CG53" i="7"/>
  <c r="DL53" i="7"/>
  <c r="DK53" i="7"/>
  <c r="DJ53" i="7"/>
  <c r="DI53" i="7"/>
  <c r="DH53" i="7"/>
  <c r="DG53" i="7"/>
  <c r="DF53" i="7"/>
  <c r="DD53" i="7"/>
  <c r="CO53" i="7"/>
  <c r="CN53" i="7"/>
  <c r="CM53" i="7"/>
  <c r="CL53" i="7"/>
  <c r="CK53" i="7"/>
  <c r="CJ53" i="7"/>
  <c r="CI53" i="7"/>
  <c r="CH53" i="7"/>
  <c r="BR53" i="7"/>
  <c r="BJ53" i="7"/>
  <c r="BQ53" i="7"/>
  <c r="BP53" i="7"/>
  <c r="BO53" i="7"/>
  <c r="BN53" i="7"/>
  <c r="BM53" i="7"/>
  <c r="BK53" i="7"/>
  <c r="DY9" i="7"/>
  <c r="Q52" i="7"/>
  <c r="AV52" i="7" s="1"/>
  <c r="Q50" i="7"/>
  <c r="N52" i="7"/>
  <c r="BT52" i="7" s="1"/>
  <c r="Z49" i="7"/>
  <c r="Z48" i="7"/>
  <c r="Z47" i="7"/>
  <c r="N45" i="7"/>
  <c r="N46" i="7"/>
  <c r="K45" i="7"/>
  <c r="K46" i="7"/>
  <c r="T44" i="7"/>
  <c r="Q42" i="7"/>
  <c r="CR52" i="7" l="1"/>
  <c r="BU52" i="7"/>
  <c r="CQ52" i="7"/>
  <c r="AU52" i="7"/>
  <c r="CR50" i="7"/>
  <c r="BU50" i="7"/>
  <c r="AV50" i="7"/>
  <c r="FQ218" i="7"/>
  <c r="FQ217" i="7"/>
  <c r="FQ176" i="7"/>
  <c r="FQ175" i="7"/>
  <c r="FQ137" i="7"/>
  <c r="FQ136" i="7"/>
  <c r="DG211" i="7"/>
  <c r="DG210" i="7"/>
  <c r="BQ174" i="7"/>
  <c r="BQ173" i="7"/>
  <c r="BQ138" i="7"/>
  <c r="BQ137" i="7"/>
  <c r="S212" i="7"/>
  <c r="S211" i="7"/>
  <c r="S165" i="7"/>
  <c r="S164" i="7"/>
  <c r="S134" i="7"/>
  <c r="S133" i="7"/>
  <c r="BJ58" i="7"/>
  <c r="BK58" i="7" s="1"/>
  <c r="BJ57" i="7"/>
  <c r="BJ56" i="7"/>
  <c r="BK56" i="7" s="1"/>
  <c r="AN56" i="7"/>
  <c r="AN57" i="7" s="1"/>
  <c r="AO56" i="7"/>
  <c r="AO57" i="7" s="1"/>
  <c r="AP56" i="7"/>
  <c r="AP57" i="7" s="1"/>
  <c r="AN53" i="7"/>
  <c r="AN55" i="7" s="1"/>
  <c r="AO53" i="7"/>
  <c r="AO55" i="7" s="1"/>
  <c r="AP53" i="7"/>
  <c r="AP55" i="7" s="1"/>
  <c r="AI40" i="7" l="1"/>
  <c r="T40" i="7"/>
  <c r="O37" i="7"/>
  <c r="L37" i="7"/>
  <c r="I37" i="7"/>
  <c r="CR42" i="7" l="1"/>
  <c r="AI4" i="7"/>
  <c r="AF5" i="7"/>
  <c r="AV42" i="7"/>
  <c r="BU42" i="7" l="1"/>
  <c r="AI5" i="7" l="1"/>
  <c r="AI6" i="7"/>
  <c r="DU6" i="7" s="1"/>
  <c r="AI7" i="7"/>
  <c r="AI8" i="7"/>
  <c r="AI9" i="7"/>
  <c r="AI10" i="7"/>
  <c r="AI11" i="7"/>
  <c r="AI12" i="7"/>
  <c r="AI13" i="7"/>
  <c r="AI14" i="7"/>
  <c r="AI15" i="7"/>
  <c r="AI16" i="7"/>
  <c r="DU16" i="7" s="1"/>
  <c r="AI17" i="7"/>
  <c r="AI18" i="7"/>
  <c r="CX18" i="7" s="1"/>
  <c r="AI19" i="7"/>
  <c r="CX19" i="7" s="1"/>
  <c r="AI20" i="7"/>
  <c r="CX20" i="7" s="1"/>
  <c r="AI21" i="7"/>
  <c r="CX21" i="7" s="1"/>
  <c r="AI22" i="7"/>
  <c r="AI23" i="7"/>
  <c r="AI24" i="7"/>
  <c r="AI25" i="7"/>
  <c r="AI26" i="7"/>
  <c r="AI27" i="7"/>
  <c r="AI28" i="7"/>
  <c r="AI29" i="7"/>
  <c r="CX29" i="7" s="1"/>
  <c r="AI30" i="7"/>
  <c r="DU30" i="7" s="1"/>
  <c r="AI31" i="7"/>
  <c r="AI32" i="7"/>
  <c r="AI33" i="7"/>
  <c r="AI34" i="7"/>
  <c r="AI35" i="7"/>
  <c r="AI36" i="7"/>
  <c r="AI37" i="7"/>
  <c r="AI38" i="7"/>
  <c r="AI39" i="7"/>
  <c r="AI42" i="7"/>
  <c r="AI43" i="7"/>
  <c r="AI44" i="7"/>
  <c r="AI45" i="7"/>
  <c r="AI46" i="7"/>
  <c r="AI47" i="7"/>
  <c r="AI48" i="7"/>
  <c r="AI49" i="7"/>
  <c r="AI50" i="7"/>
  <c r="AI51" i="7"/>
  <c r="AI52" i="7"/>
  <c r="AF4" i="7"/>
  <c r="AC5" i="7"/>
  <c r="AC6" i="7"/>
  <c r="DS6" i="7" s="1"/>
  <c r="AC7" i="7"/>
  <c r="AC8" i="7"/>
  <c r="AC9" i="7"/>
  <c r="CV9" i="7" s="1"/>
  <c r="AC10" i="7"/>
  <c r="AC11" i="7"/>
  <c r="AC12" i="7"/>
  <c r="AC13" i="7"/>
  <c r="AC14" i="7"/>
  <c r="AC15" i="7"/>
  <c r="AC16" i="7"/>
  <c r="DS16" i="7" s="1"/>
  <c r="AC17" i="7"/>
  <c r="AC18" i="7"/>
  <c r="CV18" i="7" s="1"/>
  <c r="AC19" i="7"/>
  <c r="CV19" i="7" s="1"/>
  <c r="AC20" i="7"/>
  <c r="CV20" i="7" s="1"/>
  <c r="AC21" i="7"/>
  <c r="CV21" i="7" s="1"/>
  <c r="AC22" i="7"/>
  <c r="AC23" i="7"/>
  <c r="AC24" i="7"/>
  <c r="AC25" i="7"/>
  <c r="AC26" i="7"/>
  <c r="AC27" i="7"/>
  <c r="AC28" i="7"/>
  <c r="AC29" i="7"/>
  <c r="CV29" i="7" s="1"/>
  <c r="AC30" i="7"/>
  <c r="DS30" i="7" s="1"/>
  <c r="AC31" i="7"/>
  <c r="AC32" i="7"/>
  <c r="AC33" i="7"/>
  <c r="AC34" i="7"/>
  <c r="AC35" i="7"/>
  <c r="AC36" i="7"/>
  <c r="AC37" i="7"/>
  <c r="AC38" i="7"/>
  <c r="AC39" i="7"/>
  <c r="AC40" i="7"/>
  <c r="AC41" i="7"/>
  <c r="AC42" i="7"/>
  <c r="AC43" i="7"/>
  <c r="AC44" i="7"/>
  <c r="AC45" i="7"/>
  <c r="AC46" i="7"/>
  <c r="AC47" i="7"/>
  <c r="AC48" i="7"/>
  <c r="AC49" i="7"/>
  <c r="AC50" i="7"/>
  <c r="AC51" i="7"/>
  <c r="AC52" i="7"/>
  <c r="AC4" i="7"/>
  <c r="Z52" i="7"/>
  <c r="Z5" i="7"/>
  <c r="Z6" i="7"/>
  <c r="DR6" i="7" s="1"/>
  <c r="Z7" i="7"/>
  <c r="Z8" i="7"/>
  <c r="AY8" i="7" s="1"/>
  <c r="Z9" i="7"/>
  <c r="Z10" i="7"/>
  <c r="Z11" i="7"/>
  <c r="Z12" i="7"/>
  <c r="Z13" i="7"/>
  <c r="Z14" i="7"/>
  <c r="Z15" i="7"/>
  <c r="Z16" i="7"/>
  <c r="Z17" i="7"/>
  <c r="Z18" i="7"/>
  <c r="Z19" i="7"/>
  <c r="Z20" i="7"/>
  <c r="Z21" i="7"/>
  <c r="Z22" i="7"/>
  <c r="Z23" i="7"/>
  <c r="Z24" i="7"/>
  <c r="Z25" i="7"/>
  <c r="Z26" i="7"/>
  <c r="Z27" i="7"/>
  <c r="Z28" i="7"/>
  <c r="Z29" i="7"/>
  <c r="CU29" i="7" s="1"/>
  <c r="Z30" i="7"/>
  <c r="CU30" i="7" s="1"/>
  <c r="Z31" i="7"/>
  <c r="CU31" i="7" s="1"/>
  <c r="Z32" i="7"/>
  <c r="Z33" i="7"/>
  <c r="Z34" i="7"/>
  <c r="Z35" i="7"/>
  <c r="Z36" i="7"/>
  <c r="Z37" i="7"/>
  <c r="Z38" i="7"/>
  <c r="Z39" i="7"/>
  <c r="Z40" i="7"/>
  <c r="AY40" i="7" s="1"/>
  <c r="Z41" i="7"/>
  <c r="Z42" i="7"/>
  <c r="Z43" i="7"/>
  <c r="Z44" i="7"/>
  <c r="Z45" i="7"/>
  <c r="Z46" i="7"/>
  <c r="Z4" i="7"/>
  <c r="W5" i="7"/>
  <c r="W6" i="7"/>
  <c r="DQ6" i="7" s="1"/>
  <c r="W7" i="7"/>
  <c r="W8" i="7"/>
  <c r="W10" i="7"/>
  <c r="W11" i="7"/>
  <c r="W12" i="7"/>
  <c r="W13" i="7"/>
  <c r="W14" i="7"/>
  <c r="W15" i="7"/>
  <c r="W16" i="7"/>
  <c r="W17" i="7"/>
  <c r="W18" i="7"/>
  <c r="W19" i="7"/>
  <c r="W20" i="7"/>
  <c r="W21" i="7"/>
  <c r="W22" i="7"/>
  <c r="W23" i="7"/>
  <c r="W24" i="7"/>
  <c r="W25" i="7"/>
  <c r="W26" i="7"/>
  <c r="W27" i="7"/>
  <c r="W28" i="7"/>
  <c r="W29" i="7"/>
  <c r="CT29" i="7" s="1"/>
  <c r="W30" i="7"/>
  <c r="AX30" i="7" s="1"/>
  <c r="W31" i="7"/>
  <c r="W32" i="7"/>
  <c r="W33" i="7"/>
  <c r="W34" i="7"/>
  <c r="W35" i="7"/>
  <c r="W36" i="7"/>
  <c r="W37" i="7"/>
  <c r="W38" i="7"/>
  <c r="W39" i="7"/>
  <c r="W40" i="7"/>
  <c r="W41" i="7"/>
  <c r="W42" i="7"/>
  <c r="W43" i="7"/>
  <c r="W44" i="7"/>
  <c r="W45" i="7"/>
  <c r="W46" i="7"/>
  <c r="W47" i="7"/>
  <c r="W48" i="7"/>
  <c r="W49" i="7"/>
  <c r="W50" i="7"/>
  <c r="W51" i="7"/>
  <c r="W52" i="7"/>
  <c r="T5" i="7"/>
  <c r="T6" i="7"/>
  <c r="DP6" i="7" s="1"/>
  <c r="T7" i="7"/>
  <c r="T8" i="7"/>
  <c r="T10" i="7"/>
  <c r="T11" i="7"/>
  <c r="T12" i="7"/>
  <c r="T13" i="7"/>
  <c r="T14" i="7"/>
  <c r="T15" i="7"/>
  <c r="T16" i="7"/>
  <c r="T17" i="7"/>
  <c r="T18" i="7"/>
  <c r="T19" i="7"/>
  <c r="T20" i="7"/>
  <c r="T21" i="7"/>
  <c r="T22" i="7"/>
  <c r="T23" i="7"/>
  <c r="T24" i="7"/>
  <c r="T25" i="7"/>
  <c r="AW25" i="7" s="1"/>
  <c r="T26" i="7"/>
  <c r="T27" i="7"/>
  <c r="T28" i="7"/>
  <c r="T29" i="7"/>
  <c r="T30" i="7"/>
  <c r="T31" i="7"/>
  <c r="T32" i="7"/>
  <c r="T33" i="7"/>
  <c r="T34" i="7"/>
  <c r="T35" i="7"/>
  <c r="T36" i="7"/>
  <c r="T37" i="7"/>
  <c r="T38" i="7"/>
  <c r="T39" i="7"/>
  <c r="T41" i="7"/>
  <c r="T42" i="7"/>
  <c r="T43" i="7"/>
  <c r="T45" i="7"/>
  <c r="T46" i="7"/>
  <c r="T47" i="7"/>
  <c r="T48" i="7"/>
  <c r="T49" i="7"/>
  <c r="T50" i="7"/>
  <c r="T51" i="7"/>
  <c r="T52" i="7"/>
  <c r="W4" i="7"/>
  <c r="T4" i="7"/>
  <c r="Q5" i="7"/>
  <c r="Q6" i="7"/>
  <c r="Q7" i="7"/>
  <c r="Q8" i="7"/>
  <c r="Q9" i="7"/>
  <c r="Q10" i="7"/>
  <c r="Q11" i="7"/>
  <c r="Q12" i="7"/>
  <c r="Q13" i="7"/>
  <c r="Q14" i="7"/>
  <c r="Q15" i="7"/>
  <c r="Q16" i="7"/>
  <c r="Q17" i="7"/>
  <c r="Q18" i="7"/>
  <c r="Q19" i="7"/>
  <c r="Q20" i="7"/>
  <c r="Q21" i="7"/>
  <c r="Q22" i="7"/>
  <c r="Q23" i="7"/>
  <c r="Q24" i="7"/>
  <c r="Q25" i="7"/>
  <c r="Q26" i="7"/>
  <c r="Q27" i="7"/>
  <c r="Q28" i="7"/>
  <c r="CR28" i="7" s="1"/>
  <c r="Q29" i="7"/>
  <c r="CR29" i="7" s="1"/>
  <c r="Q30" i="7"/>
  <c r="CR30" i="7" s="1"/>
  <c r="Q31" i="7"/>
  <c r="CR31" i="7" s="1"/>
  <c r="Q32" i="7"/>
  <c r="CR32" i="7" s="1"/>
  <c r="Q33" i="7"/>
  <c r="Q34" i="7"/>
  <c r="Q35" i="7"/>
  <c r="Q36" i="7"/>
  <c r="Q37" i="7"/>
  <c r="Q38" i="7"/>
  <c r="Q39" i="7"/>
  <c r="Q40" i="7"/>
  <c r="Q41" i="7"/>
  <c r="Q43" i="7"/>
  <c r="Q44" i="7"/>
  <c r="Q45" i="7"/>
  <c r="Q46" i="7"/>
  <c r="Q47" i="7"/>
  <c r="Q48" i="7"/>
  <c r="Q49" i="7"/>
  <c r="Q4" i="7"/>
  <c r="N5" i="7"/>
  <c r="N6" i="7"/>
  <c r="N7" i="7"/>
  <c r="N8" i="7"/>
  <c r="N10" i="7"/>
  <c r="N11" i="7"/>
  <c r="N12" i="7"/>
  <c r="N13" i="7"/>
  <c r="N14" i="7"/>
  <c r="N15" i="7"/>
  <c r="N16" i="7"/>
  <c r="N17" i="7"/>
  <c r="N18" i="7"/>
  <c r="N19" i="7"/>
  <c r="N20" i="7"/>
  <c r="N21" i="7"/>
  <c r="N22" i="7"/>
  <c r="N23" i="7"/>
  <c r="N24" i="7"/>
  <c r="N25" i="7"/>
  <c r="N26" i="7"/>
  <c r="N27" i="7"/>
  <c r="N28" i="7"/>
  <c r="N29" i="7"/>
  <c r="CQ29" i="7" s="1"/>
  <c r="N30" i="7"/>
  <c r="CQ30" i="7" s="1"/>
  <c r="N31" i="7"/>
  <c r="N32" i="7"/>
  <c r="N33" i="7"/>
  <c r="N34" i="7"/>
  <c r="N35" i="7"/>
  <c r="N36" i="7"/>
  <c r="N37" i="7"/>
  <c r="N38" i="7"/>
  <c r="N39" i="7"/>
  <c r="N40" i="7"/>
  <c r="N41" i="7"/>
  <c r="N42" i="7"/>
  <c r="N43" i="7"/>
  <c r="N44" i="7"/>
  <c r="N47" i="7"/>
  <c r="N49" i="7"/>
  <c r="N4" i="7"/>
  <c r="K5" i="7"/>
  <c r="K6" i="7"/>
  <c r="K7" i="7"/>
  <c r="K8" i="7"/>
  <c r="K10" i="7"/>
  <c r="K12" i="7"/>
  <c r="K13" i="7"/>
  <c r="K14" i="7"/>
  <c r="K15" i="7"/>
  <c r="K16" i="7"/>
  <c r="K17" i="7"/>
  <c r="K18" i="7"/>
  <c r="K19" i="7"/>
  <c r="K20" i="7"/>
  <c r="K21" i="7"/>
  <c r="K22" i="7"/>
  <c r="K23" i="7"/>
  <c r="K24" i="7"/>
  <c r="K25" i="7"/>
  <c r="K26" i="7"/>
  <c r="K27" i="7"/>
  <c r="K28" i="7"/>
  <c r="K29" i="7"/>
  <c r="K30" i="7"/>
  <c r="CP30" i="7" s="1"/>
  <c r="K31" i="7"/>
  <c r="K32" i="7"/>
  <c r="K33" i="7"/>
  <c r="K34" i="7"/>
  <c r="K35" i="7"/>
  <c r="K36" i="7"/>
  <c r="K37" i="7"/>
  <c r="K38" i="7"/>
  <c r="K41" i="7"/>
  <c r="K42" i="7"/>
  <c r="K44" i="7"/>
  <c r="K47" i="7"/>
  <c r="K49" i="7"/>
  <c r="K4" i="7"/>
  <c r="AM36" i="7"/>
  <c r="AL36" i="7"/>
  <c r="AL56" i="7" s="1"/>
  <c r="AK36" i="7"/>
  <c r="DA29" i="7" l="1"/>
  <c r="AT27" i="7"/>
  <c r="BS27" i="7"/>
  <c r="CP27" i="7"/>
  <c r="CS26" i="7"/>
  <c r="AW26" i="7"/>
  <c r="BV26" i="7"/>
  <c r="CP26" i="7"/>
  <c r="AT26" i="7"/>
  <c r="BS26" i="7"/>
  <c r="AL53" i="7"/>
  <c r="AL55" i="7" s="1"/>
  <c r="AL57" i="7"/>
  <c r="CS29" i="7"/>
  <c r="AW29" i="7"/>
  <c r="AK53" i="7"/>
  <c r="AK55" i="7" s="1"/>
  <c r="AK56" i="7"/>
  <c r="AK57" i="7" s="1"/>
  <c r="AM53" i="7"/>
  <c r="AM55" i="7" s="1"/>
  <c r="AM56" i="7"/>
  <c r="AM57" i="7" s="1"/>
  <c r="AW28" i="7"/>
  <c r="CT30" i="7"/>
  <c r="CS27" i="7"/>
  <c r="AW27" i="7"/>
  <c r="BV27" i="7"/>
  <c r="DB29" i="7"/>
  <c r="DC29" i="7" s="1" a="1"/>
  <c r="DC29" i="7" s="1"/>
  <c r="DM17" i="7"/>
  <c r="CP17" i="7"/>
  <c r="AT17" i="7"/>
  <c r="BS17" i="7"/>
  <c r="AU13" i="7"/>
  <c r="CQ13" i="7"/>
  <c r="BT13" i="7"/>
  <c r="CP23" i="7"/>
  <c r="AT23" i="7"/>
  <c r="BS23" i="7"/>
  <c r="DM18" i="7"/>
  <c r="CP18" i="7"/>
  <c r="AT18" i="7"/>
  <c r="BS18" i="7"/>
  <c r="DM10" i="7"/>
  <c r="AT10" i="7"/>
  <c r="CP10" i="7"/>
  <c r="BS10" i="7"/>
  <c r="AU46" i="7"/>
  <c r="CQ46" i="7"/>
  <c r="BT46" i="7"/>
  <c r="AU38" i="7"/>
  <c r="CQ38" i="7"/>
  <c r="BT38" i="7"/>
  <c r="DN30" i="7"/>
  <c r="AU30" i="7"/>
  <c r="BT30" i="7"/>
  <c r="CQ22" i="7"/>
  <c r="AU22" i="7"/>
  <c r="BT22" i="7"/>
  <c r="AU14" i="7"/>
  <c r="CQ14" i="7"/>
  <c r="BT14" i="7"/>
  <c r="AU5" i="7"/>
  <c r="CQ5" i="7"/>
  <c r="BT5" i="7"/>
  <c r="CR43" i="7"/>
  <c r="AV43" i="7"/>
  <c r="BU43" i="7"/>
  <c r="AV26" i="7"/>
  <c r="CR26" i="7"/>
  <c r="BU26" i="7"/>
  <c r="DO18" i="7"/>
  <c r="AV18" i="7"/>
  <c r="CR18" i="7"/>
  <c r="BU18" i="7"/>
  <c r="DO10" i="7"/>
  <c r="CR10" i="7"/>
  <c r="AV10" i="7"/>
  <c r="BU10" i="7"/>
  <c r="CT51" i="7"/>
  <c r="AX51" i="7"/>
  <c r="BW51" i="7"/>
  <c r="CT43" i="7"/>
  <c r="AX43" i="7"/>
  <c r="BW43" i="7"/>
  <c r="CU46" i="7"/>
  <c r="AY46" i="7"/>
  <c r="BX46" i="7"/>
  <c r="CP33" i="7"/>
  <c r="AT33" i="7"/>
  <c r="BS33" i="7"/>
  <c r="AV33" i="7"/>
  <c r="CR33" i="7"/>
  <c r="BU33" i="7"/>
  <c r="CT50" i="7"/>
  <c r="AX50" i="7"/>
  <c r="BW50" i="7"/>
  <c r="AT4" i="7"/>
  <c r="CP4" i="7"/>
  <c r="BS4" i="7"/>
  <c r="CP41" i="7"/>
  <c r="AT41" i="7"/>
  <c r="BS41" i="7"/>
  <c r="CP32" i="7"/>
  <c r="AT32" i="7"/>
  <c r="BS32" i="7"/>
  <c r="CP24" i="7"/>
  <c r="AT24" i="7"/>
  <c r="BS24" i="7"/>
  <c r="DM16" i="7"/>
  <c r="DY16" i="7" s="1"/>
  <c r="DZ16" i="7" s="1" a="1"/>
  <c r="DZ16" i="7" s="1"/>
  <c r="CP16" i="7"/>
  <c r="AT16" i="7"/>
  <c r="BS16" i="7"/>
  <c r="AT7" i="7"/>
  <c r="CP7" i="7"/>
  <c r="BS7" i="7"/>
  <c r="AU44" i="7"/>
  <c r="CQ44" i="7"/>
  <c r="BT44" i="7"/>
  <c r="AU28" i="7"/>
  <c r="AU20" i="7"/>
  <c r="CQ20" i="7"/>
  <c r="BT20" i="7"/>
  <c r="CR49" i="7"/>
  <c r="AV49" i="7"/>
  <c r="BU49" i="7"/>
  <c r="AV32" i="7"/>
  <c r="BU32" i="7"/>
  <c r="AV24" i="7"/>
  <c r="CR24" i="7"/>
  <c r="BU24" i="7"/>
  <c r="DO16" i="7"/>
  <c r="AV16" i="7"/>
  <c r="CR16" i="7"/>
  <c r="BU16" i="7"/>
  <c r="CT49" i="7"/>
  <c r="AX49" i="7"/>
  <c r="BW49" i="7"/>
  <c r="CT41" i="7"/>
  <c r="AX41" i="7"/>
  <c r="BW41" i="7"/>
  <c r="AY44" i="7"/>
  <c r="CU44" i="7"/>
  <c r="BX44" i="7"/>
  <c r="AV25" i="7"/>
  <c r="CR25" i="7"/>
  <c r="BU25" i="7"/>
  <c r="CP31" i="7"/>
  <c r="AT31" i="7"/>
  <c r="BS31" i="7"/>
  <c r="AV48" i="7"/>
  <c r="CR48" i="7"/>
  <c r="BU48" i="7"/>
  <c r="CT48" i="7"/>
  <c r="AX48" i="7"/>
  <c r="BW48" i="7"/>
  <c r="DQ40" i="7"/>
  <c r="CT40" i="7"/>
  <c r="BW40" i="7"/>
  <c r="CU43" i="7"/>
  <c r="AY43" i="7"/>
  <c r="BX43" i="7"/>
  <c r="CU50" i="7"/>
  <c r="AY50" i="7"/>
  <c r="BX50" i="7"/>
  <c r="CP25" i="7"/>
  <c r="AT25" i="7"/>
  <c r="BS25" i="7"/>
  <c r="AV4" i="7"/>
  <c r="CR4" i="7"/>
  <c r="BU4" i="7"/>
  <c r="CP49" i="7"/>
  <c r="AT49" i="7"/>
  <c r="BS49" i="7"/>
  <c r="DN35" i="7"/>
  <c r="AU35" i="7"/>
  <c r="BT35" i="7"/>
  <c r="AV39" i="7"/>
  <c r="CR39" i="7"/>
  <c r="BU39" i="7"/>
  <c r="DM30" i="7"/>
  <c r="DY30" i="7" s="1"/>
  <c r="DZ30" i="7" s="1" a="1"/>
  <c r="DZ30" i="7" s="1"/>
  <c r="AT30" i="7"/>
  <c r="BS30" i="7"/>
  <c r="CP5" i="7"/>
  <c r="AT5" i="7"/>
  <c r="BS5" i="7"/>
  <c r="AU42" i="7"/>
  <c r="CQ42" i="7"/>
  <c r="BT42" i="7"/>
  <c r="AU26" i="7"/>
  <c r="CQ26" i="7"/>
  <c r="BT26" i="7"/>
  <c r="DN18" i="7"/>
  <c r="AU18" i="7"/>
  <c r="CQ18" i="7"/>
  <c r="BT18" i="7"/>
  <c r="DN10" i="7"/>
  <c r="AU10" i="7"/>
  <c r="CQ10" i="7"/>
  <c r="BT10" i="7"/>
  <c r="DO47" i="7"/>
  <c r="AV47" i="7"/>
  <c r="CR47" i="7"/>
  <c r="BU47" i="7"/>
  <c r="AV38" i="7"/>
  <c r="CR38" i="7"/>
  <c r="BU38" i="7"/>
  <c r="CR22" i="7"/>
  <c r="AV22" i="7"/>
  <c r="BU22" i="7"/>
  <c r="DO6" i="7"/>
  <c r="CR6" i="7"/>
  <c r="AV6" i="7"/>
  <c r="BU6" i="7"/>
  <c r="DQ47" i="7"/>
  <c r="CT47" i="7"/>
  <c r="AX47" i="7"/>
  <c r="BW47" i="7"/>
  <c r="CT39" i="7"/>
  <c r="AX39" i="7"/>
  <c r="BW39" i="7"/>
  <c r="CU42" i="7"/>
  <c r="AY42" i="7"/>
  <c r="BX42" i="7"/>
  <c r="CU49" i="7"/>
  <c r="AY49" i="7"/>
  <c r="BX49" i="7"/>
  <c r="CP42" i="7"/>
  <c r="AT42" i="7"/>
  <c r="BS42" i="7"/>
  <c r="AV9" i="7"/>
  <c r="DO9" i="7"/>
  <c r="BU9" i="7"/>
  <c r="DM6" i="7"/>
  <c r="DY6" i="7" s="1"/>
  <c r="AT6" i="7"/>
  <c r="CP6" i="7"/>
  <c r="BS6" i="7"/>
  <c r="AU19" i="7"/>
  <c r="CQ19" i="7"/>
  <c r="BT19" i="7"/>
  <c r="AV23" i="7"/>
  <c r="CR23" i="7"/>
  <c r="BU23" i="7"/>
  <c r="AT38" i="7"/>
  <c r="CP38" i="7"/>
  <c r="BS38" i="7"/>
  <c r="CP22" i="7"/>
  <c r="AT22" i="7"/>
  <c r="BS22" i="7"/>
  <c r="AT46" i="7"/>
  <c r="CP46" i="7"/>
  <c r="BS46" i="7"/>
  <c r="CP21" i="7"/>
  <c r="AT21" i="7"/>
  <c r="BS21" i="7"/>
  <c r="CP13" i="7"/>
  <c r="AT13" i="7"/>
  <c r="BS13" i="7"/>
  <c r="AU4" i="7"/>
  <c r="CQ4" i="7"/>
  <c r="BT4" i="7"/>
  <c r="AU41" i="7"/>
  <c r="CQ41" i="7"/>
  <c r="BT41" i="7"/>
  <c r="CQ33" i="7"/>
  <c r="AU33" i="7"/>
  <c r="BT33" i="7"/>
  <c r="CQ25" i="7"/>
  <c r="AU25" i="7"/>
  <c r="BT25" i="7"/>
  <c r="DN17" i="7"/>
  <c r="CQ17" i="7"/>
  <c r="AU17" i="7"/>
  <c r="BT17" i="7"/>
  <c r="AV46" i="7"/>
  <c r="CR46" i="7"/>
  <c r="BU46" i="7"/>
  <c r="CR21" i="7"/>
  <c r="AV21" i="7"/>
  <c r="BU21" i="7"/>
  <c r="AV13" i="7"/>
  <c r="CR13" i="7"/>
  <c r="BU13" i="7"/>
  <c r="AX46" i="7"/>
  <c r="CT46" i="7"/>
  <c r="BW46" i="7"/>
  <c r="CU41" i="7"/>
  <c r="AY41" i="7"/>
  <c r="BX41" i="7"/>
  <c r="CU48" i="7"/>
  <c r="AY48" i="7"/>
  <c r="BX48" i="7"/>
  <c r="AU21" i="7"/>
  <c r="CQ21" i="7"/>
  <c r="BT21" i="7"/>
  <c r="AV41" i="7"/>
  <c r="CR41" i="7"/>
  <c r="BU41" i="7"/>
  <c r="CT42" i="7"/>
  <c r="AX42" i="7"/>
  <c r="BW42" i="7"/>
  <c r="DR45" i="7"/>
  <c r="CU45" i="7"/>
  <c r="AY45" i="7"/>
  <c r="BX45" i="7"/>
  <c r="CP39" i="7"/>
  <c r="AT39" i="7"/>
  <c r="BS39" i="7"/>
  <c r="CQ43" i="7"/>
  <c r="AU43" i="7"/>
  <c r="BT43" i="7"/>
  <c r="AV31" i="7"/>
  <c r="BU31" i="7"/>
  <c r="DM47" i="7"/>
  <c r="CP47" i="7"/>
  <c r="AT47" i="7"/>
  <c r="BS47" i="7"/>
  <c r="CP14" i="7"/>
  <c r="AT14" i="7"/>
  <c r="BS14" i="7"/>
  <c r="DM45" i="7"/>
  <c r="CP45" i="7"/>
  <c r="AT45" i="7"/>
  <c r="BS45" i="7"/>
  <c r="AT28" i="7"/>
  <c r="CP20" i="7"/>
  <c r="AT20" i="7"/>
  <c r="BS20" i="7"/>
  <c r="AU49" i="7"/>
  <c r="CQ49" i="7"/>
  <c r="BT49" i="7"/>
  <c r="AU32" i="7"/>
  <c r="CQ32" i="7"/>
  <c r="BT32" i="7"/>
  <c r="CQ24" i="7"/>
  <c r="AU24" i="7"/>
  <c r="BT24" i="7"/>
  <c r="DN16" i="7"/>
  <c r="CQ16" i="7"/>
  <c r="AU16" i="7"/>
  <c r="BT16" i="7"/>
  <c r="AU7" i="7"/>
  <c r="CQ7" i="7"/>
  <c r="BT7" i="7"/>
  <c r="DO45" i="7"/>
  <c r="AV45" i="7"/>
  <c r="CR45" i="7"/>
  <c r="BU45" i="7"/>
  <c r="AV28" i="7"/>
  <c r="BU28" i="7"/>
  <c r="AV20" i="7"/>
  <c r="CR20" i="7"/>
  <c r="BU20" i="7"/>
  <c r="DO12" i="7"/>
  <c r="CR12" i="7"/>
  <c r="AW4" i="7"/>
  <c r="BV4" i="7"/>
  <c r="CS4" i="7"/>
  <c r="DQ45" i="7"/>
  <c r="CT45" i="7"/>
  <c r="AX45" i="7"/>
  <c r="BW45" i="7"/>
  <c r="AY4" i="7"/>
  <c r="CU4" i="7"/>
  <c r="BX4" i="7"/>
  <c r="DR40" i="7"/>
  <c r="CU40" i="7"/>
  <c r="BX40" i="7"/>
  <c r="CU52" i="7"/>
  <c r="AY52" i="7"/>
  <c r="BX52" i="7"/>
  <c r="DN45" i="7"/>
  <c r="CQ45" i="7"/>
  <c r="AU45" i="7"/>
  <c r="BT45" i="7"/>
  <c r="DO17" i="7"/>
  <c r="AV17" i="7"/>
  <c r="CR17" i="7"/>
  <c r="BU17" i="7"/>
  <c r="AU27" i="7"/>
  <c r="CQ27" i="7"/>
  <c r="BT27" i="7"/>
  <c r="AV7" i="7"/>
  <c r="CR7" i="7"/>
  <c r="BU7" i="7"/>
  <c r="CP44" i="7"/>
  <c r="AT44" i="7"/>
  <c r="BS44" i="7"/>
  <c r="DM35" i="7"/>
  <c r="AT35" i="7"/>
  <c r="BS35" i="7"/>
  <c r="CP19" i="7"/>
  <c r="AT19" i="7"/>
  <c r="BS19" i="7"/>
  <c r="DN47" i="7"/>
  <c r="AU47" i="7"/>
  <c r="CQ47" i="7"/>
  <c r="BT47" i="7"/>
  <c r="AU39" i="7"/>
  <c r="CQ39" i="7"/>
  <c r="BT39" i="7"/>
  <c r="AU31" i="7"/>
  <c r="CQ31" i="7"/>
  <c r="BT31" i="7"/>
  <c r="AU23" i="7"/>
  <c r="CQ23" i="7"/>
  <c r="BT23" i="7"/>
  <c r="DN6" i="7"/>
  <c r="AU6" i="7"/>
  <c r="CQ6" i="7"/>
  <c r="BT6" i="7"/>
  <c r="CR44" i="7"/>
  <c r="AV44" i="7"/>
  <c r="BU44" i="7"/>
  <c r="CR27" i="7"/>
  <c r="AV27" i="7"/>
  <c r="BU27" i="7"/>
  <c r="CR19" i="7"/>
  <c r="AV19" i="7"/>
  <c r="BU19" i="7"/>
  <c r="AX4" i="7"/>
  <c r="CT4" i="7"/>
  <c r="BW4" i="7"/>
  <c r="CT52" i="7"/>
  <c r="AX52" i="7"/>
  <c r="BW52" i="7"/>
  <c r="CT44" i="7"/>
  <c r="AX44" i="7"/>
  <c r="BW44" i="7"/>
  <c r="DR47" i="7"/>
  <c r="CU47" i="7"/>
  <c r="AY47" i="7"/>
  <c r="BX47" i="7"/>
  <c r="CU39" i="7"/>
  <c r="AY39" i="7"/>
  <c r="BX39" i="7"/>
  <c r="CS44" i="7"/>
  <c r="AW44" i="7"/>
  <c r="BV44" i="7"/>
  <c r="CS51" i="7"/>
  <c r="AW51" i="7"/>
  <c r="CS50" i="7"/>
  <c r="AW50" i="7"/>
  <c r="BV50" i="7"/>
  <c r="AW42" i="7"/>
  <c r="CS42" i="7"/>
  <c r="BV42" i="7"/>
  <c r="CS49" i="7"/>
  <c r="AW49" i="7"/>
  <c r="BV49" i="7"/>
  <c r="AW41" i="7"/>
  <c r="CS41" i="7"/>
  <c r="BV41" i="7"/>
  <c r="AW48" i="7"/>
  <c r="CS48" i="7"/>
  <c r="BV48" i="7"/>
  <c r="CS52" i="7"/>
  <c r="AW52" i="7"/>
  <c r="BV52" i="7"/>
  <c r="DP47" i="7"/>
  <c r="CS47" i="7"/>
  <c r="AW47" i="7"/>
  <c r="BV47" i="7"/>
  <c r="CS46" i="7"/>
  <c r="AW46" i="7"/>
  <c r="BV46" i="7"/>
  <c r="AW43" i="7"/>
  <c r="CS43" i="7"/>
  <c r="BV43" i="7"/>
  <c r="DP45" i="7"/>
  <c r="CS45" i="7"/>
  <c r="AW45" i="7"/>
  <c r="BV45" i="7"/>
  <c r="AW39" i="7"/>
  <c r="CS39" i="7"/>
  <c r="BV39" i="7"/>
  <c r="AY38" i="7"/>
  <c r="CU38" i="7"/>
  <c r="BX38" i="7"/>
  <c r="CT38" i="7"/>
  <c r="AX38" i="7"/>
  <c r="BW38" i="7"/>
  <c r="AW38" i="7"/>
  <c r="CS38" i="7"/>
  <c r="BV38" i="7"/>
  <c r="CU37" i="7"/>
  <c r="AY37" i="7"/>
  <c r="BX37" i="7"/>
  <c r="CT37" i="7"/>
  <c r="AX37" i="7"/>
  <c r="BW37" i="7"/>
  <c r="CS37" i="7"/>
  <c r="AW37" i="7"/>
  <c r="BV37" i="7"/>
  <c r="AV37" i="7"/>
  <c r="CR37" i="7"/>
  <c r="BU37" i="7"/>
  <c r="CQ37" i="7"/>
  <c r="AU37" i="7"/>
  <c r="BT37" i="7"/>
  <c r="CP37" i="7"/>
  <c r="AT37" i="7"/>
  <c r="BS37" i="7"/>
  <c r="DR36" i="7"/>
  <c r="CU36" i="7"/>
  <c r="AY36" i="7"/>
  <c r="BX36" i="7"/>
  <c r="DQ36" i="7"/>
  <c r="CT36" i="7"/>
  <c r="AX36" i="7"/>
  <c r="BW36" i="7"/>
  <c r="DP36" i="7"/>
  <c r="CS36" i="7"/>
  <c r="AW36" i="7"/>
  <c r="BV36" i="7"/>
  <c r="DO36" i="7"/>
  <c r="CR36" i="7"/>
  <c r="AV36" i="7"/>
  <c r="BU36" i="7"/>
  <c r="DN36" i="7"/>
  <c r="CQ36" i="7"/>
  <c r="AU36" i="7"/>
  <c r="BT36" i="7"/>
  <c r="DM36" i="7"/>
  <c r="CP36" i="7"/>
  <c r="AT36" i="7"/>
  <c r="BS36" i="7"/>
  <c r="DR35" i="7"/>
  <c r="AY35" i="7"/>
  <c r="CU35" i="7"/>
  <c r="BX35" i="7"/>
  <c r="DQ35" i="7"/>
  <c r="AX35" i="7"/>
  <c r="CT35" i="7"/>
  <c r="BW35" i="7"/>
  <c r="DP35" i="7"/>
  <c r="AW35" i="7"/>
  <c r="CS35" i="7"/>
  <c r="BV35" i="7"/>
  <c r="DO35" i="7"/>
  <c r="AV35" i="7"/>
  <c r="BU35" i="7"/>
  <c r="CU34" i="7"/>
  <c r="AY34" i="7"/>
  <c r="BX34" i="7"/>
  <c r="AX34" i="7"/>
  <c r="CT34" i="7"/>
  <c r="BW34" i="7"/>
  <c r="AW34" i="7"/>
  <c r="CS34" i="7"/>
  <c r="BV34" i="7"/>
  <c r="CR34" i="7"/>
  <c r="AV34" i="7"/>
  <c r="BU34" i="7"/>
  <c r="AU34" i="7"/>
  <c r="CQ34" i="7"/>
  <c r="BT34" i="7"/>
  <c r="AT34" i="7"/>
  <c r="CP34" i="7"/>
  <c r="BS34" i="7"/>
  <c r="CU33" i="7"/>
  <c r="AY33" i="7"/>
  <c r="BX33" i="7"/>
  <c r="AX33" i="7"/>
  <c r="CT33" i="7"/>
  <c r="BW33" i="7"/>
  <c r="CS33" i="7"/>
  <c r="AW33" i="7"/>
  <c r="BV33" i="7"/>
  <c r="CU32" i="7"/>
  <c r="AY32" i="7"/>
  <c r="BX32" i="7"/>
  <c r="CT32" i="7"/>
  <c r="AX32" i="7"/>
  <c r="BW32" i="7"/>
  <c r="AW32" i="7"/>
  <c r="CS32" i="7"/>
  <c r="BV32" i="7"/>
  <c r="AY31" i="7"/>
  <c r="BX31" i="7"/>
  <c r="AX31" i="7"/>
  <c r="CT31" i="7"/>
  <c r="BW31" i="7"/>
  <c r="CS31" i="7"/>
  <c r="AW31" i="7"/>
  <c r="BV31" i="7"/>
  <c r="DR30" i="7"/>
  <c r="AY30" i="7"/>
  <c r="BX30" i="7"/>
  <c r="DQ30" i="7"/>
  <c r="BW30" i="7"/>
  <c r="DP30" i="7"/>
  <c r="CS30" i="7"/>
  <c r="AW30" i="7"/>
  <c r="BV30" i="7"/>
  <c r="DO30" i="7"/>
  <c r="AV30" i="7"/>
  <c r="BU30" i="7"/>
  <c r="AY29" i="7"/>
  <c r="BX29" i="7"/>
  <c r="AX29" i="7"/>
  <c r="BW29" i="7"/>
  <c r="BV29" i="7"/>
  <c r="AV29" i="7"/>
  <c r="BU29" i="7"/>
  <c r="AU29" i="7"/>
  <c r="BT29" i="7"/>
  <c r="AT29" i="7"/>
  <c r="BS29" i="7"/>
  <c r="CU28" i="7"/>
  <c r="AY28" i="7"/>
  <c r="BX28" i="7"/>
  <c r="AX28" i="7"/>
  <c r="CU27" i="7"/>
  <c r="AY27" i="7"/>
  <c r="BX27" i="7"/>
  <c r="AY26" i="7"/>
  <c r="CU26" i="7"/>
  <c r="BX26" i="7"/>
  <c r="AX27" i="7"/>
  <c r="CT27" i="7"/>
  <c r="BW27" i="7"/>
  <c r="CT26" i="7"/>
  <c r="AX26" i="7"/>
  <c r="BW26" i="7"/>
  <c r="CU25" i="7"/>
  <c r="AY25" i="7"/>
  <c r="BX25" i="7"/>
  <c r="AX25" i="7"/>
  <c r="CT25" i="7"/>
  <c r="BW25" i="7"/>
  <c r="CS25" i="7"/>
  <c r="BV25" i="7"/>
  <c r="CU24" i="7"/>
  <c r="AY24" i="7"/>
  <c r="BX24" i="7"/>
  <c r="CT24" i="7"/>
  <c r="AX24" i="7"/>
  <c r="BW24" i="7"/>
  <c r="AW24" i="7"/>
  <c r="CS24" i="7"/>
  <c r="BV24" i="7"/>
  <c r="CU23" i="7"/>
  <c r="AY23" i="7"/>
  <c r="BX23" i="7"/>
  <c r="AX23" i="7"/>
  <c r="CT23" i="7"/>
  <c r="BW23" i="7"/>
  <c r="CS23" i="7"/>
  <c r="AW23" i="7"/>
  <c r="BV23" i="7"/>
  <c r="CU22" i="7"/>
  <c r="AY22" i="7"/>
  <c r="BX22" i="7"/>
  <c r="CT22" i="7"/>
  <c r="AX22" i="7"/>
  <c r="BW22" i="7"/>
  <c r="AW22" i="7"/>
  <c r="CS22" i="7"/>
  <c r="BV22" i="7"/>
  <c r="CU21" i="7"/>
  <c r="AY21" i="7"/>
  <c r="BX21" i="7"/>
  <c r="CT21" i="7"/>
  <c r="AX21" i="7"/>
  <c r="BW21" i="7"/>
  <c r="AW21" i="7"/>
  <c r="CS21" i="7"/>
  <c r="BV21" i="7"/>
  <c r="AY20" i="7"/>
  <c r="CU20" i="7"/>
  <c r="BX20" i="7"/>
  <c r="CT20" i="7"/>
  <c r="AX20" i="7"/>
  <c r="BW20" i="7"/>
  <c r="CS20" i="7"/>
  <c r="AW20" i="7"/>
  <c r="BV20" i="7"/>
  <c r="CU19" i="7"/>
  <c r="AY19" i="7"/>
  <c r="BX19" i="7"/>
  <c r="CT19" i="7"/>
  <c r="AX19" i="7"/>
  <c r="BW19" i="7"/>
  <c r="AW19" i="7"/>
  <c r="CS19" i="7"/>
  <c r="BV19" i="7"/>
  <c r="DR18" i="7"/>
  <c r="CU18" i="7"/>
  <c r="AY18" i="7"/>
  <c r="BX18" i="7"/>
  <c r="DQ18" i="7"/>
  <c r="AX18" i="7"/>
  <c r="CT18" i="7"/>
  <c r="BW18" i="7"/>
  <c r="DP18" i="7"/>
  <c r="CS18" i="7"/>
  <c r="AW18" i="7"/>
  <c r="BV18" i="7"/>
  <c r="DR17" i="7"/>
  <c r="CU17" i="7"/>
  <c r="AY17" i="7"/>
  <c r="BX17" i="7"/>
  <c r="DQ17" i="7"/>
  <c r="CT17" i="7"/>
  <c r="AX17" i="7"/>
  <c r="BW17" i="7"/>
  <c r="DP17" i="7"/>
  <c r="CS17" i="7"/>
  <c r="AW17" i="7"/>
  <c r="BV17" i="7"/>
  <c r="DR16" i="7"/>
  <c r="CU16" i="7"/>
  <c r="AY16" i="7"/>
  <c r="BX16" i="7"/>
  <c r="DQ16" i="7"/>
  <c r="AX16" i="7"/>
  <c r="CT16" i="7"/>
  <c r="BW16" i="7"/>
  <c r="DP16" i="7"/>
  <c r="AW16" i="7"/>
  <c r="CS16" i="7"/>
  <c r="BV16" i="7"/>
  <c r="CU15" i="7"/>
  <c r="AY15" i="7"/>
  <c r="BX15" i="7"/>
  <c r="CT15" i="7"/>
  <c r="AX15" i="7"/>
  <c r="BW15" i="7"/>
  <c r="CS15" i="7"/>
  <c r="AW15" i="7"/>
  <c r="BV15" i="7"/>
  <c r="AV15" i="7"/>
  <c r="CR15" i="7"/>
  <c r="BU15" i="7"/>
  <c r="CQ15" i="7"/>
  <c r="AU15" i="7"/>
  <c r="BT15" i="7"/>
  <c r="CP15" i="7"/>
  <c r="AT15" i="7"/>
  <c r="BS15" i="7"/>
  <c r="CU14" i="7"/>
  <c r="AY14" i="7"/>
  <c r="BX14" i="7"/>
  <c r="CT14" i="7"/>
  <c r="AX14" i="7"/>
  <c r="BW14" i="7"/>
  <c r="CU13" i="7"/>
  <c r="AY13" i="7"/>
  <c r="BX13" i="7"/>
  <c r="CT13" i="7"/>
  <c r="AX13" i="7"/>
  <c r="BW13" i="7"/>
  <c r="CS13" i="7"/>
  <c r="AW13" i="7"/>
  <c r="BV13" i="7"/>
  <c r="DR12" i="7"/>
  <c r="CU12" i="7"/>
  <c r="CU11" i="7"/>
  <c r="AY11" i="7"/>
  <c r="AY59" i="7" s="1"/>
  <c r="BX11" i="7"/>
  <c r="CT11" i="7"/>
  <c r="AX11" i="7"/>
  <c r="AX59" i="7" s="1"/>
  <c r="BW11" i="7"/>
  <c r="CS11" i="7"/>
  <c r="AW11" i="7"/>
  <c r="AW59" i="7" s="1"/>
  <c r="BV11" i="7"/>
  <c r="CR11" i="7"/>
  <c r="AV11" i="7"/>
  <c r="AV59" i="7" s="1"/>
  <c r="BU11" i="7"/>
  <c r="CQ11" i="7"/>
  <c r="AU11" i="7"/>
  <c r="AU59" i="7" s="1"/>
  <c r="BT11" i="7"/>
  <c r="CP11" i="7"/>
  <c r="AT11" i="7"/>
  <c r="BS11" i="7"/>
  <c r="DR10" i="7"/>
  <c r="CU10" i="7"/>
  <c r="AY10" i="7"/>
  <c r="BX10" i="7"/>
  <c r="DQ10" i="7"/>
  <c r="CT10" i="7"/>
  <c r="AX10" i="7"/>
  <c r="BW10" i="7"/>
  <c r="DP10" i="7"/>
  <c r="AW10" i="7"/>
  <c r="CS10" i="7"/>
  <c r="BV10" i="7"/>
  <c r="DR9" i="7"/>
  <c r="CU9" i="7"/>
  <c r="AY9" i="7"/>
  <c r="BX9" i="7"/>
  <c r="DR8" i="7"/>
  <c r="BX8" i="7"/>
  <c r="DQ8" i="7"/>
  <c r="AX8" i="7"/>
  <c r="BW8" i="7"/>
  <c r="DP8" i="7"/>
  <c r="AW8" i="7"/>
  <c r="BV8" i="7"/>
  <c r="DO8" i="7"/>
  <c r="AV8" i="7"/>
  <c r="BU8" i="7"/>
  <c r="DN8" i="7"/>
  <c r="AU8" i="7"/>
  <c r="BT8" i="7"/>
  <c r="DM8" i="7"/>
  <c r="AT8" i="7"/>
  <c r="BS8" i="7"/>
  <c r="AY7" i="7"/>
  <c r="CU7" i="7"/>
  <c r="BX7" i="7"/>
  <c r="CT7" i="7"/>
  <c r="AX7" i="7"/>
  <c r="BW7" i="7"/>
  <c r="CS7" i="7"/>
  <c r="AW7" i="7"/>
  <c r="BV7" i="7"/>
  <c r="CU6" i="7"/>
  <c r="AY6" i="7"/>
  <c r="BX6" i="7"/>
  <c r="CT6" i="7"/>
  <c r="AX6" i="7"/>
  <c r="BW6" i="7"/>
  <c r="AW6" i="7"/>
  <c r="CS6" i="7"/>
  <c r="BV6" i="7"/>
  <c r="CU5" i="7"/>
  <c r="AY5" i="7"/>
  <c r="BX5" i="7"/>
  <c r="CT5" i="7"/>
  <c r="AX5" i="7"/>
  <c r="BW5" i="7"/>
  <c r="CS5" i="7"/>
  <c r="AW5" i="7"/>
  <c r="BV5" i="7"/>
  <c r="CR5" i="7"/>
  <c r="AV5" i="7"/>
  <c r="BU5" i="7"/>
  <c r="DZ9" i="7" a="1"/>
  <c r="DZ9" i="7" s="1"/>
  <c r="CC11" i="7" l="1"/>
  <c r="CZ11" i="7"/>
  <c r="BD11" i="7"/>
  <c r="AT59" i="7"/>
  <c r="DA20" i="7"/>
  <c r="DB21" i="7"/>
  <c r="DB18" i="7"/>
  <c r="DB19" i="7"/>
  <c r="CD4" i="7"/>
  <c r="BE4" i="7"/>
  <c r="DY8" i="7"/>
  <c r="DZ8" i="7" s="1" a="1"/>
  <c r="DZ8" i="7" s="1"/>
  <c r="DX8" i="7"/>
  <c r="DX6" i="7"/>
  <c r="DX30" i="7"/>
  <c r="DX16" i="7"/>
  <c r="DA18" i="7"/>
  <c r="DA21" i="7"/>
  <c r="DA19" i="7"/>
  <c r="DB4" i="7"/>
  <c r="DC4" i="7" s="1" a="1"/>
  <c r="DC4" i="7" s="1"/>
  <c r="DA4" i="7"/>
  <c r="DB20" i="7"/>
  <c r="CF8" i="7" a="1"/>
  <c r="CF8" i="7" s="1"/>
  <c r="CD8" i="7"/>
  <c r="BF8" i="7"/>
  <c r="BG8" i="7" s="1" a="1"/>
  <c r="BG8" i="7" s="1"/>
  <c r="BE8" i="7"/>
  <c r="BF4" i="7"/>
  <c r="FR181" i="7"/>
  <c r="FR180" i="7"/>
  <c r="FR179" i="7"/>
  <c r="CE4" i="7"/>
  <c r="AY75" i="8"/>
  <c r="AY74" i="8"/>
  <c r="AY73" i="8"/>
  <c r="AT6" i="8"/>
  <c r="AT4" i="8"/>
  <c r="AT5" i="8"/>
  <c r="AS4" i="8"/>
  <c r="AS6" i="8"/>
  <c r="AS5" i="8"/>
  <c r="AA74" i="8"/>
  <c r="AD74" i="8"/>
  <c r="AE32" i="8"/>
  <c r="AF32" i="8"/>
  <c r="AB22" i="8"/>
  <c r="N20" i="8"/>
  <c r="N19" i="8"/>
  <c r="M20" i="8"/>
  <c r="L20" i="8"/>
  <c r="M19" i="8"/>
  <c r="L19" i="8"/>
  <c r="Z14" i="8"/>
  <c r="Z15" i="8"/>
  <c r="Z18" i="8"/>
  <c r="Z19" i="8"/>
  <c r="Z22" i="8"/>
  <c r="Z23" i="8"/>
  <c r="Z25" i="8"/>
  <c r="Z26" i="8"/>
  <c r="Z27" i="8"/>
  <c r="Z28" i="8"/>
  <c r="Y11" i="8"/>
  <c r="Y12" i="8"/>
  <c r="Y13" i="8"/>
  <c r="Y14" i="8"/>
  <c r="Y15" i="8"/>
  <c r="Y17" i="8"/>
  <c r="Y18" i="8"/>
  <c r="Y19" i="8"/>
  <c r="Y22" i="8"/>
  <c r="Y23" i="8"/>
  <c r="Y25" i="8"/>
  <c r="Y26" i="8"/>
  <c r="Y27" i="8"/>
  <c r="Y28" i="8"/>
  <c r="Y30" i="8"/>
  <c r="Y31" i="8"/>
  <c r="L3" i="8"/>
  <c r="N3" i="8"/>
  <c r="AA15" i="8"/>
  <c r="AE15" i="8"/>
  <c r="AF15" i="8"/>
  <c r="AF19" i="8"/>
  <c r="AF23" i="8"/>
  <c r="AB14" i="8"/>
  <c r="AD10" i="8"/>
  <c r="AF7" i="8"/>
  <c r="AE7" i="8"/>
  <c r="AE11" i="8"/>
  <c r="AF11" i="8"/>
  <c r="AE12" i="8"/>
  <c r="AF12" i="8"/>
  <c r="AE19" i="8"/>
  <c r="AE20" i="8"/>
  <c r="AE23" i="8"/>
  <c r="AE27" i="8"/>
  <c r="AF27" i="8"/>
  <c r="AE28" i="8"/>
  <c r="AF28" i="8"/>
  <c r="AE31" i="8"/>
  <c r="AF31" i="8"/>
  <c r="AE35" i="8"/>
  <c r="AF35" i="8"/>
  <c r="AE36" i="8"/>
  <c r="AF36" i="8"/>
  <c r="AE39" i="8"/>
  <c r="AF39" i="8"/>
  <c r="AE43" i="8"/>
  <c r="AF43" i="8"/>
  <c r="AE47" i="8"/>
  <c r="AF47" i="8"/>
  <c r="AE132" i="8"/>
  <c r="AE172" i="8"/>
  <c r="AE180" i="8"/>
  <c r="AC10" i="8"/>
  <c r="AB10" i="8"/>
  <c r="AA7" i="8"/>
  <c r="AA9" i="8"/>
  <c r="AA10" i="8"/>
  <c r="AA34" i="8"/>
  <c r="Z7" i="8"/>
  <c r="Z9" i="8"/>
  <c r="Z10" i="8"/>
  <c r="Y7" i="8"/>
  <c r="Y9" i="8"/>
  <c r="Y10" i="8"/>
  <c r="Y5" i="8"/>
  <c r="AD6" i="8"/>
  <c r="AC6" i="8"/>
  <c r="N6" i="8"/>
  <c r="AA6" i="8" s="1"/>
  <c r="M6" i="8"/>
  <c r="Z6" i="8" s="1"/>
  <c r="L6" i="8"/>
  <c r="Y6" i="8" s="1"/>
  <c r="AE3" i="8"/>
  <c r="N5" i="8"/>
  <c r="AA5" i="8" s="1"/>
  <c r="M5" i="8"/>
  <c r="Z5" i="8" s="1"/>
  <c r="L5" i="8"/>
  <c r="Z3" i="8"/>
  <c r="AA3" i="8"/>
  <c r="M3" i="8"/>
  <c r="AF3" i="8" s="1"/>
  <c r="AA202" i="8"/>
  <c r="AB202" i="8"/>
  <c r="AC198" i="8"/>
  <c r="AB198" i="8"/>
  <c r="AF195" i="8"/>
  <c r="AB194" i="8"/>
  <c r="AE191" i="8"/>
  <c r="AB190" i="8"/>
  <c r="AF187" i="8"/>
  <c r="AA186" i="8"/>
  <c r="AB186" i="8"/>
  <c r="AE183" i="8"/>
  <c r="AB182" i="8"/>
  <c r="AF180" i="8"/>
  <c r="AF179" i="8"/>
  <c r="AB178" i="8"/>
  <c r="AE175" i="8"/>
  <c r="AB174" i="8"/>
  <c r="AF172" i="8"/>
  <c r="AF171" i="8"/>
  <c r="AA170" i="8"/>
  <c r="AB170" i="8"/>
  <c r="AE167" i="8"/>
  <c r="AB166" i="8"/>
  <c r="AF163" i="8"/>
  <c r="AB162" i="8"/>
  <c r="AE159" i="8"/>
  <c r="AF155" i="8"/>
  <c r="AF147" i="8"/>
  <c r="AB146" i="8"/>
  <c r="AE143" i="8"/>
  <c r="AF139" i="8"/>
  <c r="AA138" i="8"/>
  <c r="AB138" i="8"/>
  <c r="AF136" i="8"/>
  <c r="AE135" i="8"/>
  <c r="AF132" i="8"/>
  <c r="AF131" i="8"/>
  <c r="AB130" i="8"/>
  <c r="AE127" i="8"/>
  <c r="AA122" i="8"/>
  <c r="AB122" i="8"/>
  <c r="AE119" i="8"/>
  <c r="AB114" i="8"/>
  <c r="AE111" i="8"/>
  <c r="AF107" i="8"/>
  <c r="AB106" i="8"/>
  <c r="AB98" i="8"/>
  <c r="AF91" i="8"/>
  <c r="AA90" i="8"/>
  <c r="AB90" i="8"/>
  <c r="AE87" i="8"/>
  <c r="AF83" i="8"/>
  <c r="AD82" i="8"/>
  <c r="AB82" i="8"/>
  <c r="AE79" i="8"/>
  <c r="AF75" i="8"/>
  <c r="AE71" i="8"/>
  <c r="AF67" i="8"/>
  <c r="AD66" i="8"/>
  <c r="AB66" i="8"/>
  <c r="AF64" i="8"/>
  <c r="AE63" i="8"/>
  <c r="AF60" i="8"/>
  <c r="AF59" i="8"/>
  <c r="AB58" i="8"/>
  <c r="AE55" i="8"/>
  <c r="AF51" i="8"/>
  <c r="AD50" i="8"/>
  <c r="AB50" i="8"/>
  <c r="Z46" i="8"/>
  <c r="AB42" i="8"/>
  <c r="AD34" i="8"/>
  <c r="AB34" i="8"/>
  <c r="AB26" i="8"/>
  <c r="AD18" i="8"/>
  <c r="AB18" i="8"/>
  <c r="CX12" i="7"/>
  <c r="DA12" i="7" s="1"/>
  <c r="CX36" i="7"/>
  <c r="DA36" i="7" s="1"/>
  <c r="CX40" i="7"/>
  <c r="BB43" i="7"/>
  <c r="BE43" i="7" s="1"/>
  <c r="AF52" i="7"/>
  <c r="BZ52" i="7" s="1"/>
  <c r="AF6" i="7"/>
  <c r="DT6" i="7" s="1"/>
  <c r="AF7" i="7"/>
  <c r="CW7" i="7" s="1"/>
  <c r="AF8" i="7"/>
  <c r="AF9" i="7"/>
  <c r="BA9" i="7" s="1"/>
  <c r="AF10" i="7"/>
  <c r="DT10" i="7" s="1"/>
  <c r="AF11" i="7"/>
  <c r="BZ11" i="7" s="1"/>
  <c r="AF12" i="7"/>
  <c r="BZ12" i="7" s="1"/>
  <c r="AF13" i="7"/>
  <c r="CW13" i="7" s="1"/>
  <c r="AF14" i="7"/>
  <c r="BA14" i="7" s="1"/>
  <c r="AF15" i="7"/>
  <c r="AF16" i="7"/>
  <c r="DT16" i="7" s="1"/>
  <c r="AF17" i="7"/>
  <c r="BA17" i="7" s="1"/>
  <c r="AF18" i="7"/>
  <c r="AF19" i="7"/>
  <c r="AF20" i="7"/>
  <c r="CW20" i="7" s="1"/>
  <c r="AF21" i="7"/>
  <c r="CW21" i="7" s="1"/>
  <c r="AF22" i="7"/>
  <c r="BZ22" i="7" s="1"/>
  <c r="AF23" i="7"/>
  <c r="BZ23" i="7" s="1"/>
  <c r="AF24" i="7"/>
  <c r="CW24" i="7" s="1"/>
  <c r="AF25" i="7"/>
  <c r="BZ25" i="7" s="1"/>
  <c r="AF26" i="7"/>
  <c r="BA26" i="7" s="1"/>
  <c r="AF27" i="7"/>
  <c r="CW27" i="7" s="1"/>
  <c r="AF28" i="7"/>
  <c r="BA28" i="7" s="1"/>
  <c r="AF29" i="7"/>
  <c r="CW29" i="7" s="1"/>
  <c r="AF30" i="7"/>
  <c r="DT30" i="7" s="1"/>
  <c r="AF31" i="7"/>
  <c r="BZ31" i="7" s="1"/>
  <c r="AF32" i="7"/>
  <c r="BZ32" i="7" s="1"/>
  <c r="AF33" i="7"/>
  <c r="BZ33" i="7" s="1"/>
  <c r="AF34" i="7"/>
  <c r="BZ34" i="7" s="1"/>
  <c r="AF35" i="7"/>
  <c r="BA35" i="7" s="1"/>
  <c r="AF36" i="7"/>
  <c r="CW36" i="7" s="1"/>
  <c r="AF37" i="7"/>
  <c r="BA37" i="7" s="1"/>
  <c r="AF38" i="7"/>
  <c r="CW38" i="7" s="1"/>
  <c r="AF39" i="7"/>
  <c r="CW39" i="7" s="1"/>
  <c r="AF40" i="7"/>
  <c r="CW40" i="7" s="1"/>
  <c r="AF41" i="7"/>
  <c r="BA41" i="7" s="1"/>
  <c r="BE41" i="7" s="1"/>
  <c r="AF42" i="7"/>
  <c r="BA42" i="7" s="1"/>
  <c r="AF43" i="7"/>
  <c r="BA43" i="7" s="1"/>
  <c r="AF44" i="7"/>
  <c r="CW44" i="7" s="1"/>
  <c r="AF45" i="7"/>
  <c r="BA45" i="7" s="1"/>
  <c r="AF46" i="7"/>
  <c r="CW46" i="7" s="1"/>
  <c r="AF47" i="7"/>
  <c r="BZ47" i="7" s="1"/>
  <c r="AF48" i="7"/>
  <c r="CW48" i="7" s="1"/>
  <c r="AF49" i="7"/>
  <c r="BA49" i="7" s="1"/>
  <c r="AF50" i="7"/>
  <c r="BA50" i="7" s="1"/>
  <c r="AF51" i="7"/>
  <c r="BZ51" i="7" s="1"/>
  <c r="AZ5" i="7"/>
  <c r="AZ6" i="7"/>
  <c r="AZ7" i="7"/>
  <c r="AZ9" i="7"/>
  <c r="AZ11" i="7"/>
  <c r="BY13" i="7"/>
  <c r="BY14" i="7"/>
  <c r="AZ15" i="7"/>
  <c r="AZ16" i="7"/>
  <c r="DS17" i="7"/>
  <c r="BY18" i="7"/>
  <c r="AZ19" i="7"/>
  <c r="AZ20" i="7"/>
  <c r="CV22" i="7"/>
  <c r="AZ23" i="7"/>
  <c r="AZ24" i="7"/>
  <c r="BY25" i="7"/>
  <c r="AZ27" i="7"/>
  <c r="AZ28" i="7"/>
  <c r="BY29" i="7"/>
  <c r="AZ30" i="7"/>
  <c r="AZ31" i="7"/>
  <c r="AZ32" i="7"/>
  <c r="BY33" i="7"/>
  <c r="AZ34" i="7"/>
  <c r="AZ35" i="7"/>
  <c r="AZ38" i="7"/>
  <c r="BY39" i="7"/>
  <c r="CV40" i="7"/>
  <c r="BY42" i="7"/>
  <c r="CV43" i="7"/>
  <c r="BY45" i="7"/>
  <c r="CV46" i="7"/>
  <c r="AZ47" i="7"/>
  <c r="CV48" i="7"/>
  <c r="BY49" i="7"/>
  <c r="CV51" i="7"/>
  <c r="AZ52" i="7"/>
  <c r="BK57" i="7"/>
  <c r="AS40" i="7"/>
  <c r="AR40" i="7"/>
  <c r="AQ40" i="7"/>
  <c r="AS36" i="7"/>
  <c r="AR36" i="7"/>
  <c r="AQ36" i="7"/>
  <c r="BC36" i="7" l="1"/>
  <c r="BC40" i="7"/>
  <c r="DA40" i="7"/>
  <c r="DB40" i="7"/>
  <c r="DC40" i="7" s="1" a="1"/>
  <c r="DC40" i="7" s="1"/>
  <c r="DB36" i="7"/>
  <c r="DB12" i="7"/>
  <c r="AS53" i="7"/>
  <c r="AS55" i="7" s="1"/>
  <c r="BF43" i="7"/>
  <c r="BG43" i="7" s="1" a="1"/>
  <c r="BG43" i="7" s="1"/>
  <c r="BG4" i="7" a="1"/>
  <c r="BG4" i="7" s="1"/>
  <c r="CF4" i="7" a="1"/>
  <c r="CF4" i="7" s="1"/>
  <c r="BA18" i="7"/>
  <c r="CW18" i="7"/>
  <c r="BA19" i="7"/>
  <c r="CW19" i="7"/>
  <c r="BF41" i="7"/>
  <c r="BG41" i="7" s="1" a="1"/>
  <c r="BG41" i="7" s="1"/>
  <c r="DC18" i="7" a="1"/>
  <c r="DC18" i="7" s="1"/>
  <c r="BB49" i="7"/>
  <c r="BE49" i="7" s="1"/>
  <c r="CX39" i="7"/>
  <c r="DA39" i="7" s="1"/>
  <c r="BB15" i="7"/>
  <c r="BE15" i="7" s="1"/>
  <c r="CX47" i="7"/>
  <c r="DA47" i="7" s="1"/>
  <c r="CA30" i="7"/>
  <c r="BB22" i="7"/>
  <c r="BE22" i="7" s="1"/>
  <c r="CX14" i="7"/>
  <c r="DA14" i="7" s="1"/>
  <c r="CX48" i="7"/>
  <c r="DA48" i="7" s="1"/>
  <c r="CA31" i="7"/>
  <c r="BB7" i="7"/>
  <c r="BE7" i="7" s="1"/>
  <c r="BB37" i="7"/>
  <c r="BE37" i="7" s="1"/>
  <c r="CX5" i="7"/>
  <c r="DA5" i="7" s="1"/>
  <c r="BB35" i="7"/>
  <c r="BE35" i="7" s="1"/>
  <c r="CA27" i="7"/>
  <c r="CX11" i="7"/>
  <c r="DA11" i="7" s="1"/>
  <c r="CX32" i="7"/>
  <c r="DA32" i="7" s="1"/>
  <c r="CA23" i="7"/>
  <c r="CX51" i="7"/>
  <c r="DA51" i="7" s="1"/>
  <c r="BB18" i="7"/>
  <c r="BE18" i="7" s="1"/>
  <c r="CA10" i="7"/>
  <c r="CA24" i="7"/>
  <c r="CX46" i="7"/>
  <c r="DA46" i="7" s="1"/>
  <c r="CA29" i="7"/>
  <c r="CA21" i="7"/>
  <c r="CX13" i="7"/>
  <c r="DA13" i="7" s="1"/>
  <c r="CA45" i="7"/>
  <c r="AS56" i="7"/>
  <c r="AS57" i="7" s="1"/>
  <c r="CX50" i="7"/>
  <c r="DA50" i="7" s="1"/>
  <c r="CX42" i="7"/>
  <c r="DA42" i="7" s="1"/>
  <c r="BB33" i="7"/>
  <c r="BE33" i="7" s="1"/>
  <c r="CA25" i="7"/>
  <c r="BB17" i="7"/>
  <c r="BE17" i="7" s="1"/>
  <c r="BY16" i="7"/>
  <c r="BZ17" i="7"/>
  <c r="BB9" i="7"/>
  <c r="BE9" i="7" s="1"/>
  <c r="BB42" i="7"/>
  <c r="BE42" i="7" s="1"/>
  <c r="CW9" i="7"/>
  <c r="BZ26" i="7"/>
  <c r="DU10" i="7"/>
  <c r="CW26" i="7"/>
  <c r="BY17" i="7"/>
  <c r="CW42" i="7"/>
  <c r="BY9" i="7"/>
  <c r="CW17" i="7"/>
  <c r="CA43" i="7"/>
  <c r="BZ9" i="7"/>
  <c r="DU18" i="7"/>
  <c r="CW49" i="7"/>
  <c r="BB45" i="7"/>
  <c r="CV17" i="7"/>
  <c r="AZ33" i="7"/>
  <c r="CW50" i="7"/>
  <c r="BZ10" i="7"/>
  <c r="BZ18" i="7"/>
  <c r="CV33" i="7"/>
  <c r="BB51" i="7"/>
  <c r="CA18" i="7"/>
  <c r="CV34" i="7"/>
  <c r="CA51" i="7"/>
  <c r="DU45" i="7"/>
  <c r="CV5" i="7"/>
  <c r="BZ46" i="7"/>
  <c r="CA47" i="7"/>
  <c r="DU47" i="7"/>
  <c r="CA42" i="7"/>
  <c r="BY48" i="7"/>
  <c r="CX17" i="7"/>
  <c r="DA17" i="7" s="1"/>
  <c r="AZ48" i="7"/>
  <c r="CV16" i="7"/>
  <c r="DT17" i="7"/>
  <c r="CV27" i="7"/>
  <c r="BZ49" i="7"/>
  <c r="BZ38" i="7"/>
  <c r="BZ14" i="7"/>
  <c r="BB14" i="7"/>
  <c r="BE14" i="7" s="1"/>
  <c r="BY21" i="7"/>
  <c r="CA14" i="7"/>
  <c r="AZ21" i="7"/>
  <c r="CW14" i="7"/>
  <c r="BA22" i="7"/>
  <c r="CW51" i="7"/>
  <c r="CV13" i="7"/>
  <c r="DS18" i="7"/>
  <c r="CW22" i="7"/>
  <c r="BA38" i="7"/>
  <c r="AZ42" i="7"/>
  <c r="BA46" i="7"/>
  <c r="CA6" i="7"/>
  <c r="BB47" i="7"/>
  <c r="BE47" i="7" s="1"/>
  <c r="CV30" i="7"/>
  <c r="CX7" i="7"/>
  <c r="DA7" i="7" s="1"/>
  <c r="BY38" i="7"/>
  <c r="BZ39" i="7"/>
  <c r="CA15" i="7"/>
  <c r="CX45" i="7"/>
  <c r="DA45" i="7" s="1"/>
  <c r="BB29" i="7"/>
  <c r="BE29" i="7" s="1"/>
  <c r="DC19" i="7" a="1"/>
  <c r="DC19" i="7" s="1"/>
  <c r="BY43" i="7"/>
  <c r="BY11" i="7"/>
  <c r="BB12" i="7"/>
  <c r="BE12" i="7" s="1"/>
  <c r="BA32" i="7"/>
  <c r="BB48" i="7"/>
  <c r="CV6" i="7"/>
  <c r="CV14" i="7"/>
  <c r="AZ22" i="7"/>
  <c r="CV38" i="7"/>
  <c r="BZ7" i="7"/>
  <c r="BY22" i="7"/>
  <c r="CX23" i="7"/>
  <c r="BY30" i="7"/>
  <c r="BY51" i="7"/>
  <c r="AZ14" i="7"/>
  <c r="BB31" i="7"/>
  <c r="BE31" i="7" s="1"/>
  <c r="CA48" i="7"/>
  <c r="CA7" i="7"/>
  <c r="BA7" i="7"/>
  <c r="BB23" i="7"/>
  <c r="BE23" i="7" s="1"/>
  <c r="AZ36" i="7"/>
  <c r="BA39" i="7"/>
  <c r="BB39" i="7"/>
  <c r="BE39" i="7" s="1"/>
  <c r="DT47" i="7"/>
  <c r="CA13" i="7"/>
  <c r="BZ21" i="7"/>
  <c r="CW45" i="7"/>
  <c r="BY15" i="7"/>
  <c r="BY31" i="7"/>
  <c r="CA49" i="7"/>
  <c r="CV7" i="7"/>
  <c r="DS47" i="7"/>
  <c r="CV15" i="7"/>
  <c r="BY20" i="7"/>
  <c r="BB40" i="7"/>
  <c r="BB46" i="7"/>
  <c r="BB24" i="7"/>
  <c r="BE24" i="7" s="1"/>
  <c r="CV31" i="7"/>
  <c r="AZ39" i="7"/>
  <c r="BA13" i="7"/>
  <c r="BY23" i="7"/>
  <c r="CX24" i="7"/>
  <c r="DA24" i="7" s="1"/>
  <c r="BY47" i="7"/>
  <c r="BB13" i="7"/>
  <c r="BE13" i="7" s="1"/>
  <c r="BA21" i="7"/>
  <c r="CA40" i="7"/>
  <c r="BA48" i="7"/>
  <c r="CX49" i="7"/>
  <c r="DA49" i="7" s="1"/>
  <c r="BB5" i="7"/>
  <c r="BE5" i="7" s="1"/>
  <c r="BB21" i="7"/>
  <c r="BE21" i="7" s="1"/>
  <c r="BZ13" i="7"/>
  <c r="CV23" i="7"/>
  <c r="CA32" i="7"/>
  <c r="CV39" i="7"/>
  <c r="CV47" i="7"/>
  <c r="BZ48" i="7"/>
  <c r="BZ24" i="7"/>
  <c r="BB32" i="7"/>
  <c r="BE32" i="7" s="1"/>
  <c r="CA5" i="7"/>
  <c r="CW32" i="7"/>
  <c r="Y199" i="8"/>
  <c r="Y66" i="8"/>
  <c r="Y178" i="8"/>
  <c r="AE136" i="8"/>
  <c r="AE64" i="8"/>
  <c r="AE60" i="8"/>
  <c r="AD186" i="8"/>
  <c r="AF199" i="8"/>
  <c r="AF191" i="8"/>
  <c r="AF183" i="8"/>
  <c r="AF175" i="8"/>
  <c r="AF167" i="8"/>
  <c r="AF159" i="8"/>
  <c r="AF143" i="8"/>
  <c r="AF135" i="8"/>
  <c r="AF127" i="8"/>
  <c r="AF119" i="8"/>
  <c r="AF111" i="8"/>
  <c r="AF87" i="8"/>
  <c r="AF79" i="8"/>
  <c r="AF71" i="8"/>
  <c r="AF63" i="8"/>
  <c r="AF55" i="8"/>
  <c r="Y155" i="8"/>
  <c r="AE199" i="8"/>
  <c r="AE195" i="8"/>
  <c r="AE187" i="8"/>
  <c r="AE179" i="8"/>
  <c r="AE171" i="8"/>
  <c r="AE163" i="8"/>
  <c r="AE155" i="8"/>
  <c r="AE147" i="8"/>
  <c r="AE139" i="8"/>
  <c r="AE131" i="8"/>
  <c r="AE107" i="8"/>
  <c r="AE91" i="8"/>
  <c r="AE83" i="8"/>
  <c r="AE75" i="8"/>
  <c r="AE67" i="8"/>
  <c r="AE59" i="8"/>
  <c r="AE51" i="8"/>
  <c r="Y130" i="8"/>
  <c r="Z199" i="8"/>
  <c r="AF20" i="8"/>
  <c r="AA27" i="8"/>
  <c r="AA35" i="8"/>
  <c r="AC38" i="8"/>
  <c r="Z38" i="8"/>
  <c r="AA59" i="8"/>
  <c r="AC166" i="8"/>
  <c r="Z166" i="8"/>
  <c r="Z174" i="8"/>
  <c r="AC174" i="8"/>
  <c r="AA195" i="8"/>
  <c r="AC46" i="8"/>
  <c r="AA14" i="8"/>
  <c r="AD14" i="8"/>
  <c r="AA22" i="8"/>
  <c r="AD22" i="8"/>
  <c r="AA30" i="8"/>
  <c r="AD30" i="8"/>
  <c r="AA38" i="8"/>
  <c r="AD38" i="8"/>
  <c r="AA46" i="8"/>
  <c r="AD46" i="8"/>
  <c r="AD54" i="8"/>
  <c r="Z57" i="8"/>
  <c r="AA62" i="8"/>
  <c r="AD62" i="8"/>
  <c r="AA70" i="8"/>
  <c r="AD70" i="8"/>
  <c r="AA78" i="8"/>
  <c r="AD78" i="8"/>
  <c r="AA86" i="8"/>
  <c r="AD86" i="8"/>
  <c r="AD94" i="8"/>
  <c r="AA94" i="8"/>
  <c r="AD102" i="8"/>
  <c r="AD110" i="8"/>
  <c r="AA110" i="8"/>
  <c r="AD118" i="8"/>
  <c r="AD126" i="8"/>
  <c r="AD142" i="8"/>
  <c r="AA142" i="8"/>
  <c r="AA150" i="8"/>
  <c r="AD150" i="8"/>
  <c r="AA166" i="8"/>
  <c r="AD166" i="8"/>
  <c r="AD174" i="8"/>
  <c r="AA174" i="8"/>
  <c r="AA182" i="8"/>
  <c r="AD182" i="8"/>
  <c r="AD190" i="8"/>
  <c r="AA190" i="8"/>
  <c r="AA198" i="8"/>
  <c r="AD198" i="8"/>
  <c r="Y3" i="8"/>
  <c r="Y198" i="8"/>
  <c r="Y187" i="8"/>
  <c r="Y166" i="8"/>
  <c r="Y90" i="8"/>
  <c r="Z198" i="8"/>
  <c r="Z183" i="8"/>
  <c r="Z159" i="8"/>
  <c r="AA187" i="8"/>
  <c r="AA18" i="8"/>
  <c r="AD170" i="8"/>
  <c r="AC14" i="8"/>
  <c r="Z64" i="8"/>
  <c r="AC30" i="8"/>
  <c r="Z30" i="8"/>
  <c r="Z158" i="8"/>
  <c r="AC158" i="8"/>
  <c r="AC182" i="8"/>
  <c r="Z182" i="8"/>
  <c r="Z190" i="8"/>
  <c r="AC190" i="8"/>
  <c r="Z12" i="8"/>
  <c r="AA25" i="8"/>
  <c r="Z36" i="8"/>
  <c r="Y47" i="8"/>
  <c r="Y55" i="8"/>
  <c r="AA57" i="8"/>
  <c r="Z60" i="8"/>
  <c r="Y63" i="8"/>
  <c r="Y71" i="8"/>
  <c r="Y79" i="8"/>
  <c r="Y87" i="8"/>
  <c r="Y127" i="8"/>
  <c r="Y135" i="8"/>
  <c r="Y143" i="8"/>
  <c r="Y159" i="8"/>
  <c r="Y167" i="8"/>
  <c r="Z172" i="8"/>
  <c r="Y175" i="8"/>
  <c r="Y183" i="8"/>
  <c r="Y186" i="8"/>
  <c r="Y75" i="8"/>
  <c r="Y64" i="8"/>
  <c r="Y50" i="8"/>
  <c r="Y36" i="8"/>
  <c r="Z31" i="8"/>
  <c r="AA179" i="8"/>
  <c r="Z78" i="8"/>
  <c r="AC78" i="8"/>
  <c r="AC86" i="8"/>
  <c r="Z86" i="8"/>
  <c r="Z94" i="8"/>
  <c r="AC94" i="8"/>
  <c r="AA12" i="8"/>
  <c r="AA28" i="8"/>
  <c r="AA60" i="8"/>
  <c r="AA172" i="8"/>
  <c r="Y195" i="8"/>
  <c r="Y174" i="8"/>
  <c r="Y138" i="8"/>
  <c r="Y60" i="8"/>
  <c r="Y49" i="8"/>
  <c r="Y35" i="8"/>
  <c r="Z87" i="8"/>
  <c r="AA171" i="8"/>
  <c r="AA107" i="8"/>
  <c r="AD138" i="8"/>
  <c r="AA13" i="8"/>
  <c r="AA11" i="8"/>
  <c r="AC22" i="8"/>
  <c r="AA43" i="8"/>
  <c r="AA67" i="8"/>
  <c r="AA75" i="8"/>
  <c r="Z142" i="8"/>
  <c r="AC142" i="8"/>
  <c r="AC150" i="8"/>
  <c r="Z150" i="8"/>
  <c r="AA36" i="8"/>
  <c r="AC18" i="8"/>
  <c r="AA23" i="8"/>
  <c r="AC26" i="8"/>
  <c r="AA31" i="8"/>
  <c r="Z34" i="8"/>
  <c r="AC34" i="8"/>
  <c r="AC42" i="8"/>
  <c r="Y45" i="8"/>
  <c r="AA47" i="8"/>
  <c r="AC50" i="8"/>
  <c r="AA55" i="8"/>
  <c r="AC58" i="8"/>
  <c r="Z58" i="8"/>
  <c r="AA63" i="8"/>
  <c r="Z66" i="8"/>
  <c r="AC66" i="8"/>
  <c r="Y69" i="8"/>
  <c r="AA71" i="8"/>
  <c r="AA79" i="8"/>
  <c r="AC82" i="8"/>
  <c r="Z82" i="8"/>
  <c r="AA87" i="8"/>
  <c r="Z90" i="8"/>
  <c r="AC90" i="8"/>
  <c r="AC98" i="8"/>
  <c r="Z98" i="8"/>
  <c r="Z106" i="8"/>
  <c r="AC106" i="8"/>
  <c r="AA111" i="8"/>
  <c r="AC114" i="8"/>
  <c r="Z114" i="8"/>
  <c r="Z122" i="8"/>
  <c r="AC122" i="8"/>
  <c r="AA127" i="8"/>
  <c r="AC130" i="8"/>
  <c r="Z130" i="8"/>
  <c r="AA135" i="8"/>
  <c r="Z138" i="8"/>
  <c r="AC138" i="8"/>
  <c r="AC146" i="8"/>
  <c r="Z146" i="8"/>
  <c r="AA159" i="8"/>
  <c r="AC162" i="8"/>
  <c r="Z162" i="8"/>
  <c r="AA167" i="8"/>
  <c r="Z170" i="8"/>
  <c r="AC170" i="8"/>
  <c r="Y173" i="8"/>
  <c r="AA175" i="8"/>
  <c r="AC178" i="8"/>
  <c r="Z178" i="8"/>
  <c r="AA183" i="8"/>
  <c r="Z186" i="8"/>
  <c r="AC186" i="8"/>
  <c r="AC194" i="8"/>
  <c r="Z194" i="8"/>
  <c r="AA199" i="8"/>
  <c r="Z202" i="8"/>
  <c r="AC202" i="8"/>
  <c r="Y172" i="8"/>
  <c r="Y162" i="8"/>
  <c r="Y98" i="8"/>
  <c r="Y59" i="8"/>
  <c r="Y34" i="8"/>
  <c r="Z175" i="8"/>
  <c r="Z143" i="8"/>
  <c r="Z79" i="8"/>
  <c r="AD122" i="8"/>
  <c r="AA45" i="8"/>
  <c r="AC54" i="8"/>
  <c r="AC62" i="8"/>
  <c r="Z62" i="8"/>
  <c r="AC70" i="8"/>
  <c r="Z70" i="8"/>
  <c r="AC102" i="8"/>
  <c r="Z110" i="8"/>
  <c r="AC110" i="8"/>
  <c r="AC118" i="8"/>
  <c r="AC126" i="8"/>
  <c r="Z13" i="8"/>
  <c r="AD26" i="8"/>
  <c r="AA26" i="8"/>
  <c r="AD42" i="8"/>
  <c r="Z45" i="8"/>
  <c r="AD58" i="8"/>
  <c r="AA58" i="8"/>
  <c r="Z69" i="8"/>
  <c r="AD98" i="8"/>
  <c r="AA98" i="8"/>
  <c r="AD114" i="8"/>
  <c r="AA114" i="8"/>
  <c r="AD130" i="8"/>
  <c r="AA130" i="8"/>
  <c r="AD146" i="8"/>
  <c r="AA146" i="8"/>
  <c r="AD162" i="8"/>
  <c r="AA162" i="8"/>
  <c r="AD178" i="8"/>
  <c r="AA178" i="8"/>
  <c r="AD194" i="8"/>
  <c r="AA194" i="8"/>
  <c r="Y202" i="8"/>
  <c r="Y182" i="8"/>
  <c r="Y171" i="8"/>
  <c r="Y147" i="8"/>
  <c r="Y136" i="8"/>
  <c r="Y122" i="8"/>
  <c r="Y83" i="8"/>
  <c r="Y58" i="8"/>
  <c r="Z135" i="8"/>
  <c r="AA82" i="8"/>
  <c r="AD106" i="8"/>
  <c r="AA189" i="8"/>
  <c r="Y170" i="8"/>
  <c r="Y146" i="8"/>
  <c r="Y107" i="8"/>
  <c r="Y82" i="8"/>
  <c r="Y57" i="8"/>
  <c r="Y43" i="8"/>
  <c r="Z127" i="8"/>
  <c r="Z63" i="8"/>
  <c r="AA147" i="8"/>
  <c r="AA66" i="8"/>
  <c r="AD90" i="8"/>
  <c r="AA69" i="8"/>
  <c r="Z136" i="8"/>
  <c r="Z11" i="8"/>
  <c r="AB30" i="8"/>
  <c r="Z35" i="8"/>
  <c r="AB38" i="8"/>
  <c r="Y38" i="8"/>
  <c r="Z43" i="8"/>
  <c r="Y46" i="8"/>
  <c r="AB46" i="8"/>
  <c r="Y54" i="8"/>
  <c r="AB54" i="8"/>
  <c r="Z59" i="8"/>
  <c r="Y62" i="8"/>
  <c r="AB62" i="8"/>
  <c r="AA64" i="8"/>
  <c r="AB70" i="8"/>
  <c r="Y70" i="8"/>
  <c r="Z75" i="8"/>
  <c r="Y78" i="8"/>
  <c r="AB78" i="8"/>
  <c r="Z83" i="8"/>
  <c r="Y86" i="8"/>
  <c r="AB86" i="8"/>
  <c r="Y94" i="8"/>
  <c r="AB94" i="8"/>
  <c r="AB102" i="8"/>
  <c r="Z107" i="8"/>
  <c r="Y110" i="8"/>
  <c r="AB110" i="8"/>
  <c r="AB118" i="8"/>
  <c r="AB126" i="8"/>
  <c r="AA136" i="8"/>
  <c r="Y142" i="8"/>
  <c r="AB142" i="8"/>
  <c r="Y150" i="8"/>
  <c r="AB150" i="8"/>
  <c r="Z155" i="8"/>
  <c r="Y158" i="8"/>
  <c r="AB158" i="8"/>
  <c r="Z171" i="8"/>
  <c r="Z179" i="8"/>
  <c r="Z187" i="8"/>
  <c r="Z195" i="8"/>
  <c r="AB6" i="8"/>
  <c r="Y190" i="8"/>
  <c r="Y179" i="8"/>
  <c r="Y106" i="8"/>
  <c r="Y67" i="8"/>
  <c r="Z167" i="8"/>
  <c r="Z55" i="8"/>
  <c r="AA50" i="8"/>
  <c r="AD202" i="8"/>
  <c r="CA9" i="7"/>
  <c r="CA11" i="7"/>
  <c r="CA17" i="7"/>
  <c r="BB25" i="7"/>
  <c r="BE25" i="7" s="1"/>
  <c r="CX35" i="7"/>
  <c r="DA35" i="7" s="1"/>
  <c r="DU36" i="7"/>
  <c r="CA12" i="7"/>
  <c r="CA19" i="7"/>
  <c r="BB11" i="7"/>
  <c r="BE11" i="7" s="1"/>
  <c r="BB19" i="7"/>
  <c r="BE19" i="7" s="1"/>
  <c r="BB36" i="7"/>
  <c r="BE36" i="7" s="1"/>
  <c r="CA50" i="7"/>
  <c r="DU17" i="7"/>
  <c r="CA36" i="7"/>
  <c r="BB50" i="7"/>
  <c r="DU35" i="7"/>
  <c r="CX43" i="7"/>
  <c r="DA43" i="7" s="1"/>
  <c r="DU12" i="7"/>
  <c r="CA35" i="7"/>
  <c r="CX25" i="7"/>
  <c r="DA25" i="7" s="1"/>
  <c r="BA27" i="7"/>
  <c r="BA36" i="7"/>
  <c r="BA52" i="7"/>
  <c r="BA20" i="7"/>
  <c r="BA44" i="7"/>
  <c r="DT12" i="7"/>
  <c r="DT18" i="7"/>
  <c r="BA24" i="7"/>
  <c r="BZ36" i="7"/>
  <c r="BZ43" i="7"/>
  <c r="BZ44" i="7"/>
  <c r="BA51" i="7"/>
  <c r="CW52" i="7"/>
  <c r="CW35" i="7"/>
  <c r="CW12" i="7"/>
  <c r="BZ19" i="7"/>
  <c r="DT35" i="7"/>
  <c r="BZ50" i="7"/>
  <c r="CW10" i="7"/>
  <c r="BZ20" i="7"/>
  <c r="CW34" i="7"/>
  <c r="DT36" i="7"/>
  <c r="BA12" i="7"/>
  <c r="CW43" i="7"/>
  <c r="BA34" i="7"/>
  <c r="BA10" i="7"/>
  <c r="CV11" i="7"/>
  <c r="DC20" i="7" a="1"/>
  <c r="DC20" i="7" s="1"/>
  <c r="AZ43" i="7"/>
  <c r="BY34" i="7"/>
  <c r="AZ17" i="7"/>
  <c r="CV24" i="7"/>
  <c r="AZ40" i="7"/>
  <c r="BY27" i="7"/>
  <c r="CV35" i="7"/>
  <c r="AZ51" i="7"/>
  <c r="DS36" i="7"/>
  <c r="AZ18" i="7"/>
  <c r="DS35" i="7"/>
  <c r="BB38" i="7"/>
  <c r="BE38" i="7" s="1"/>
  <c r="CA38" i="7"/>
  <c r="CX38" i="7"/>
  <c r="DA38" i="7" s="1"/>
  <c r="BY10" i="7"/>
  <c r="CV10" i="7"/>
  <c r="DS10" i="7"/>
  <c r="AZ10" i="7"/>
  <c r="CV41" i="7"/>
  <c r="AZ41" i="7"/>
  <c r="BY41" i="7"/>
  <c r="BZ6" i="7"/>
  <c r="CW6" i="7"/>
  <c r="BA6" i="7"/>
  <c r="CA16" i="7"/>
  <c r="BB16" i="7"/>
  <c r="BE16" i="7" s="1"/>
  <c r="CX16" i="7"/>
  <c r="DA16" i="7" s="1"/>
  <c r="BY12" i="7"/>
  <c r="DS12" i="7"/>
  <c r="CV12" i="7"/>
  <c r="AZ12" i="7"/>
  <c r="BY44" i="7"/>
  <c r="CV44" i="7"/>
  <c r="AZ44" i="7"/>
  <c r="CX22" i="7"/>
  <c r="DA22" i="7" s="1"/>
  <c r="CA22" i="7"/>
  <c r="CX28" i="7"/>
  <c r="CA28" i="7"/>
  <c r="BB28" i="7"/>
  <c r="BE28" i="7" s="1"/>
  <c r="CW16" i="7"/>
  <c r="BZ16" i="7"/>
  <c r="BA16" i="7"/>
  <c r="BZ5" i="7"/>
  <c r="CW5" i="7"/>
  <c r="BA5" i="7"/>
  <c r="BB6" i="7"/>
  <c r="BE6" i="7" s="1"/>
  <c r="CX6" i="7"/>
  <c r="DA6" i="7" s="1"/>
  <c r="BA15" i="7"/>
  <c r="BZ15" i="7"/>
  <c r="CX44" i="7"/>
  <c r="DA44" i="7" s="1"/>
  <c r="BB44" i="7"/>
  <c r="BE44" i="7" s="1"/>
  <c r="BY7" i="7"/>
  <c r="DC9" i="7" a="1"/>
  <c r="DC9" i="7" s="1"/>
  <c r="CW15" i="7"/>
  <c r="BB20" i="7"/>
  <c r="BE20" i="7" s="1"/>
  <c r="CA20" i="7"/>
  <c r="BA29" i="7"/>
  <c r="BZ29" i="7"/>
  <c r="BB30" i="7"/>
  <c r="BE30" i="7" s="1"/>
  <c r="CX30" i="7"/>
  <c r="DA30" i="7" s="1"/>
  <c r="BY32" i="7"/>
  <c r="CX33" i="7"/>
  <c r="DA33" i="7" s="1"/>
  <c r="CA33" i="7"/>
  <c r="AZ37" i="7"/>
  <c r="BY37" i="7"/>
  <c r="CV37" i="7"/>
  <c r="CX26" i="7"/>
  <c r="DA26" i="7" s="1"/>
  <c r="BB26" i="7"/>
  <c r="BE26" i="7" s="1"/>
  <c r="CW30" i="7"/>
  <c r="BA30" i="7"/>
  <c r="CW33" i="7"/>
  <c r="BY36" i="7"/>
  <c r="CW11" i="7"/>
  <c r="AZ13" i="7"/>
  <c r="CX15" i="7"/>
  <c r="DA15" i="7" s="1"/>
  <c r="CV25" i="7"/>
  <c r="AZ25" i="7"/>
  <c r="CX27" i="7"/>
  <c r="DA27" i="7" s="1"/>
  <c r="BB27" i="7"/>
  <c r="BE27" i="7" s="1"/>
  <c r="CW37" i="7"/>
  <c r="BZ37" i="7"/>
  <c r="BZ41" i="7"/>
  <c r="CX10" i="7"/>
  <c r="DA10" i="7" s="1"/>
  <c r="BB10" i="7"/>
  <c r="BE10" i="7" s="1"/>
  <c r="BY6" i="7"/>
  <c r="BA11" i="7"/>
  <c r="CW25" i="7"/>
  <c r="BA25" i="7"/>
  <c r="CA26" i="7"/>
  <c r="AZ29" i="7"/>
  <c r="CW31" i="7"/>
  <c r="BA31" i="7"/>
  <c r="CX31" i="7"/>
  <c r="DA31" i="7" s="1"/>
  <c r="BA33" i="7"/>
  <c r="CV36" i="7"/>
  <c r="CA37" i="7"/>
  <c r="CX37" i="7"/>
  <c r="DA37" i="7" s="1"/>
  <c r="CW41" i="7"/>
  <c r="DA41" i="7" s="1"/>
  <c r="CA44" i="7"/>
  <c r="CV49" i="7"/>
  <c r="AZ49" i="7"/>
  <c r="CX52" i="7"/>
  <c r="DA52" i="7" s="1"/>
  <c r="BB52" i="7"/>
  <c r="CA52" i="7"/>
  <c r="BY5" i="7"/>
  <c r="BY26" i="7"/>
  <c r="AZ26" i="7"/>
  <c r="CV26" i="7"/>
  <c r="BZ30" i="7"/>
  <c r="CV32" i="7"/>
  <c r="CX34" i="7"/>
  <c r="DA34" i="7" s="1"/>
  <c r="BB34" i="7"/>
  <c r="BE34" i="7" s="1"/>
  <c r="CA34" i="7"/>
  <c r="CV50" i="7"/>
  <c r="AZ50" i="7"/>
  <c r="BY50" i="7"/>
  <c r="AQ56" i="7"/>
  <c r="AQ57" i="7" s="1"/>
  <c r="AQ53" i="7"/>
  <c r="AQ55" i="7" s="1"/>
  <c r="BY40" i="7"/>
  <c r="DS40" i="7"/>
  <c r="BY19" i="7"/>
  <c r="CW23" i="7"/>
  <c r="BA23" i="7"/>
  <c r="BY35" i="7"/>
  <c r="AR56" i="7"/>
  <c r="AR57" i="7" s="1"/>
  <c r="AR53" i="7"/>
  <c r="AR55" i="7" s="1"/>
  <c r="DT40" i="7"/>
  <c r="BA40" i="7"/>
  <c r="AZ45" i="7"/>
  <c r="DS45" i="7"/>
  <c r="BA47" i="7"/>
  <c r="CW47" i="7"/>
  <c r="BZ40" i="7"/>
  <c r="DU40" i="7"/>
  <c r="CV42" i="7"/>
  <c r="CV45" i="7"/>
  <c r="BY46" i="7"/>
  <c r="AZ46" i="7"/>
  <c r="BZ42" i="7"/>
  <c r="BZ45" i="7"/>
  <c r="BY24" i="7"/>
  <c r="BZ35" i="7"/>
  <c r="CA46" i="7"/>
  <c r="BZ27" i="7"/>
  <c r="CA39" i="7"/>
  <c r="DT45" i="7"/>
  <c r="BY52" i="7"/>
  <c r="CV52" i="7"/>
  <c r="DB23" i="7" l="1"/>
  <c r="CZ23" i="7"/>
  <c r="DC12" i="7" a="1"/>
  <c r="DC12" i="7" s="1"/>
  <c r="DA28" i="7"/>
  <c r="CD28" i="7"/>
  <c r="DC36" i="7" a="1"/>
  <c r="DC36" i="7" s="1"/>
  <c r="DY12" i="7"/>
  <c r="DX12" i="7"/>
  <c r="DY35" i="7"/>
  <c r="DZ35" i="7" s="1" a="1"/>
  <c r="DZ35" i="7" s="1"/>
  <c r="DX35" i="7"/>
  <c r="BE40" i="7"/>
  <c r="BF40" i="7"/>
  <c r="BG40" i="7" s="1" a="1"/>
  <c r="BG40" i="7" s="1"/>
  <c r="DY45" i="7"/>
  <c r="DZ45" i="7" s="1" a="1"/>
  <c r="DZ45" i="7" s="1"/>
  <c r="DX45" i="7"/>
  <c r="DY40" i="7"/>
  <c r="DZ40" i="7" s="1" a="1"/>
  <c r="DZ40" i="7" s="1"/>
  <c r="DX40" i="7"/>
  <c r="DY36" i="7"/>
  <c r="DZ36" i="7" s="1" a="1"/>
  <c r="DZ36" i="7" s="1"/>
  <c r="DX36" i="7"/>
  <c r="DY17" i="7"/>
  <c r="DZ17" i="7" s="1" a="1"/>
  <c r="DZ17" i="7" s="1"/>
  <c r="DX17" i="7"/>
  <c r="DY47" i="7"/>
  <c r="DX47" i="7"/>
  <c r="BE51" i="7"/>
  <c r="BF51" i="7"/>
  <c r="BG51" i="7" s="1" a="1"/>
  <c r="BG51" i="7" s="1"/>
  <c r="DA23" i="7"/>
  <c r="DC23" i="7" a="1"/>
  <c r="DC23" i="7" s="1"/>
  <c r="DB54" i="7" s="1"/>
  <c r="DC55" i="7" s="1"/>
  <c r="CD40" i="7"/>
  <c r="CE40" i="7"/>
  <c r="CF40" i="7" s="1" a="1"/>
  <c r="CF40" i="7" s="1"/>
  <c r="DY18" i="7"/>
  <c r="DX18" i="7"/>
  <c r="DY10" i="7"/>
  <c r="DZ10" i="7" s="1" a="1"/>
  <c r="DZ10" i="7" s="1"/>
  <c r="DX10" i="7"/>
  <c r="DB50" i="7"/>
  <c r="DC50" i="7" s="1" a="1"/>
  <c r="DC50" i="7" s="1"/>
  <c r="DB47" i="7"/>
  <c r="DC47" i="7" s="1" a="1"/>
  <c r="DC47" i="7" s="1"/>
  <c r="DB24" i="7"/>
  <c r="DC24" i="7" s="1" a="1"/>
  <c r="DC24" i="7" s="1"/>
  <c r="DB7" i="7"/>
  <c r="DB17" i="7"/>
  <c r="DB52" i="7"/>
  <c r="DB27" i="7"/>
  <c r="DC27" i="7" s="1" a="1"/>
  <c r="DC27" i="7" s="1"/>
  <c r="DB33" i="7"/>
  <c r="DC33" i="7" s="1" a="1"/>
  <c r="DC33" i="7" s="1"/>
  <c r="DB38" i="7"/>
  <c r="DC38" i="7" s="1" a="1"/>
  <c r="DC38" i="7" s="1"/>
  <c r="DB5" i="7"/>
  <c r="DB31" i="7"/>
  <c r="DC31" i="7" s="1" a="1"/>
  <c r="DC31" i="7" s="1"/>
  <c r="DB30" i="7"/>
  <c r="DC30" i="7" s="1" a="1"/>
  <c r="DC30" i="7" s="1"/>
  <c r="DB35" i="7"/>
  <c r="DC35" i="7" s="1" a="1"/>
  <c r="DC35" i="7" s="1"/>
  <c r="DB51" i="7"/>
  <c r="DC51" i="7" s="1" a="1"/>
  <c r="DC51" i="7" s="1"/>
  <c r="DB39" i="7"/>
  <c r="DC39" i="7" s="1" a="1"/>
  <c r="DC39" i="7" s="1"/>
  <c r="DB26" i="7"/>
  <c r="DB16" i="7"/>
  <c r="DC16" i="7" s="1" a="1"/>
  <c r="DC16" i="7" s="1"/>
  <c r="DB25" i="7"/>
  <c r="DC25" i="7" s="1" a="1"/>
  <c r="DC25" i="7" s="1"/>
  <c r="DB13" i="7"/>
  <c r="DC13" i="7" s="1" a="1"/>
  <c r="DC13" i="7" s="1"/>
  <c r="DB15" i="7"/>
  <c r="DC15" i="7" s="1" a="1"/>
  <c r="DC15" i="7" s="1"/>
  <c r="DB22" i="7"/>
  <c r="DC22" i="7" s="1" a="1"/>
  <c r="DC22" i="7" s="1"/>
  <c r="DB32" i="7"/>
  <c r="DC32" i="7" s="1" a="1"/>
  <c r="DC32" i="7" s="1"/>
  <c r="DB49" i="7"/>
  <c r="DB37" i="7"/>
  <c r="DC37" i="7" s="1" a="1"/>
  <c r="DC37" i="7" s="1"/>
  <c r="DB45" i="7"/>
  <c r="DC45" i="7" s="1" a="1"/>
  <c r="DC45" i="7" s="1"/>
  <c r="DB11" i="7"/>
  <c r="DC11" i="7" s="1" a="1"/>
  <c r="DC11" i="7" s="1"/>
  <c r="DB14" i="7"/>
  <c r="DC14" i="7" s="1" a="1"/>
  <c r="DC14" i="7" s="1"/>
  <c r="DB44" i="7"/>
  <c r="DC44" i="7" s="1" a="1"/>
  <c r="DC44" i="7" s="1"/>
  <c r="DB48" i="7"/>
  <c r="DC48" i="7" s="1" a="1"/>
  <c r="DC48" i="7" s="1"/>
  <c r="DB43" i="7"/>
  <c r="DC43" i="7" s="1" a="1"/>
  <c r="DC43" i="7" s="1"/>
  <c r="DB46" i="7"/>
  <c r="DC46" i="7" s="1" a="1"/>
  <c r="DC46" i="7" s="1"/>
  <c r="DB41" i="7"/>
  <c r="DC41" i="7" s="1" a="1"/>
  <c r="DC41" i="7" s="1"/>
  <c r="DB34" i="7"/>
  <c r="DC34" i="7" s="1" a="1"/>
  <c r="DC34" i="7" s="1"/>
  <c r="DB6" i="7"/>
  <c r="DC6" i="7" s="1" a="1"/>
  <c r="DC6" i="7" s="1"/>
  <c r="DB42" i="7"/>
  <c r="DC42" i="7" s="1" a="1"/>
  <c r="DC42" i="7" s="1"/>
  <c r="CE38" i="7"/>
  <c r="CF38" i="7" s="1" a="1"/>
  <c r="CF38" i="7" s="1"/>
  <c r="CD38" i="7"/>
  <c r="CE36" i="7"/>
  <c r="CF36" i="7" s="1" a="1"/>
  <c r="CF36" i="7" s="1"/>
  <c r="CD36" i="7"/>
  <c r="CE10" i="7"/>
  <c r="CF10" i="7" s="1" a="1"/>
  <c r="CF10" i="7" s="1"/>
  <c r="CD10" i="7"/>
  <c r="CE22" i="7"/>
  <c r="CF22" i="7" s="1" a="1"/>
  <c r="CF22" i="7" s="1"/>
  <c r="CD22" i="7"/>
  <c r="CE13" i="7"/>
  <c r="CF13" i="7" s="1" a="1"/>
  <c r="CF13" i="7" s="1"/>
  <c r="CD13" i="7"/>
  <c r="CE51" i="7"/>
  <c r="CF51" i="7" s="1" a="1"/>
  <c r="CF51" i="7" s="1"/>
  <c r="CD51" i="7"/>
  <c r="CE44" i="7"/>
  <c r="CF44" i="7" s="1" a="1"/>
  <c r="CF44" i="7" s="1"/>
  <c r="CD44" i="7"/>
  <c r="CE50" i="7"/>
  <c r="CF50" i="7" s="1" a="1"/>
  <c r="CF50" i="7" s="1"/>
  <c r="CD50" i="7"/>
  <c r="CE48" i="7"/>
  <c r="CF48" i="7" s="1" a="1"/>
  <c r="CF48" i="7" s="1"/>
  <c r="CD48" i="7"/>
  <c r="CE45" i="7"/>
  <c r="CF45" i="7" s="1" a="1"/>
  <c r="CF45" i="7" s="1"/>
  <c r="CD45" i="7"/>
  <c r="CE7" i="7"/>
  <c r="CF7" i="7" s="1" a="1"/>
  <c r="CF7" i="7" s="1"/>
  <c r="CD7" i="7"/>
  <c r="CE39" i="7"/>
  <c r="CF39" i="7" s="1" a="1"/>
  <c r="CF39" i="7" s="1"/>
  <c r="CD39" i="7"/>
  <c r="CE41" i="7"/>
  <c r="CF41" i="7" s="1" a="1"/>
  <c r="CF41" i="7" s="1"/>
  <c r="CD41" i="7"/>
  <c r="CE35" i="7"/>
  <c r="CF35" i="7" s="1" a="1"/>
  <c r="CF35" i="7" s="1"/>
  <c r="CD35" i="7"/>
  <c r="CE17" i="7"/>
  <c r="CF17" i="7" s="1" a="1"/>
  <c r="CF17" i="7" s="1"/>
  <c r="CD17" i="7"/>
  <c r="CE42" i="7"/>
  <c r="CF42" i="7" s="1" a="1"/>
  <c r="CF42" i="7" s="1"/>
  <c r="CD42" i="7"/>
  <c r="CE18" i="7"/>
  <c r="CF18" i="7" s="1" a="1"/>
  <c r="CF18" i="7" s="1"/>
  <c r="CD18" i="7"/>
  <c r="CE23" i="7"/>
  <c r="CF23" i="7" s="1" a="1"/>
  <c r="CF23" i="7" s="1"/>
  <c r="CD23" i="7"/>
  <c r="CE31" i="7"/>
  <c r="CF31" i="7" s="1" a="1"/>
  <c r="CF31" i="7" s="1"/>
  <c r="CD31" i="7"/>
  <c r="CE11" i="7"/>
  <c r="CD11" i="7"/>
  <c r="CE49" i="7"/>
  <c r="CF49" i="7" s="1" a="1"/>
  <c r="CF49" i="7" s="1"/>
  <c r="CD49" i="7"/>
  <c r="CE6" i="7"/>
  <c r="CF6" i="7" s="1" a="1"/>
  <c r="CF6" i="7" s="1"/>
  <c r="CD6" i="7"/>
  <c r="CE21" i="7"/>
  <c r="CF21" i="7" s="1" a="1"/>
  <c r="CF21" i="7" s="1"/>
  <c r="CD21" i="7"/>
  <c r="CE34" i="7"/>
  <c r="CF34" i="7" s="1" a="1"/>
  <c r="CF34" i="7" s="1"/>
  <c r="CD34" i="7"/>
  <c r="CE26" i="7"/>
  <c r="CF26" i="7" s="1" a="1"/>
  <c r="CF26" i="7" s="1"/>
  <c r="CD26" i="7"/>
  <c r="CE16" i="7"/>
  <c r="CD16" i="7"/>
  <c r="CE46" i="7"/>
  <c r="CF46" i="7" s="1" a="1"/>
  <c r="CF46" i="7" s="1"/>
  <c r="CD46" i="7"/>
  <c r="CE52" i="7"/>
  <c r="CF52" i="7" s="1" a="1"/>
  <c r="CF52" i="7" s="1"/>
  <c r="CD52" i="7"/>
  <c r="CE37" i="7"/>
  <c r="CF37" i="7" s="1" a="1"/>
  <c r="CF37" i="7" s="1"/>
  <c r="CD37" i="7"/>
  <c r="CE20" i="7"/>
  <c r="CF20" i="7" s="1" a="1"/>
  <c r="CF20" i="7" s="1"/>
  <c r="CD20" i="7"/>
  <c r="CE32" i="7"/>
  <c r="CF32" i="7" s="1" a="1"/>
  <c r="CF32" i="7" s="1"/>
  <c r="CD32" i="7"/>
  <c r="CE47" i="7"/>
  <c r="CF47" i="7" s="1" a="1"/>
  <c r="CF47" i="7" s="1"/>
  <c r="CD47" i="7"/>
  <c r="CE25" i="7"/>
  <c r="CF25" i="7" s="1" a="1"/>
  <c r="CF25" i="7" s="1"/>
  <c r="CD25" i="7"/>
  <c r="CE29" i="7"/>
  <c r="CF29" i="7" s="1" a="1"/>
  <c r="CF29" i="7" s="1"/>
  <c r="CD29" i="7"/>
  <c r="CE33" i="7"/>
  <c r="CF33" i="7" s="1" a="1"/>
  <c r="CF33" i="7" s="1"/>
  <c r="CD33" i="7"/>
  <c r="CE19" i="7"/>
  <c r="CF19" i="7" s="1" a="1"/>
  <c r="CF19" i="7" s="1"/>
  <c r="CD19" i="7"/>
  <c r="CE9" i="7"/>
  <c r="CF9" i="7" s="1" a="1"/>
  <c r="CF9" i="7" s="1"/>
  <c r="CD9" i="7"/>
  <c r="CE15" i="7"/>
  <c r="CF15" i="7" s="1" a="1"/>
  <c r="CF15" i="7" s="1"/>
  <c r="CD15" i="7"/>
  <c r="CE27" i="7"/>
  <c r="CF27" i="7" s="1" a="1"/>
  <c r="CF27" i="7" s="1"/>
  <c r="CD27" i="7"/>
  <c r="CE12" i="7"/>
  <c r="CF12" i="7" s="1" a="1"/>
  <c r="CF12" i="7" s="1"/>
  <c r="CD12" i="7"/>
  <c r="CE5" i="7"/>
  <c r="CF5" i="7" s="1" a="1"/>
  <c r="CF5" i="7" s="1"/>
  <c r="CD5" i="7"/>
  <c r="CE14" i="7"/>
  <c r="CD14" i="7"/>
  <c r="CE43" i="7"/>
  <c r="CF43" i="7" s="1" a="1"/>
  <c r="CF43" i="7" s="1"/>
  <c r="CD43" i="7"/>
  <c r="CE24" i="7"/>
  <c r="CF24" i="7" s="1" a="1"/>
  <c r="CF24" i="7" s="1"/>
  <c r="CD24" i="7"/>
  <c r="CE30" i="7"/>
  <c r="CF30" i="7" s="1" a="1"/>
  <c r="CF30" i="7" s="1"/>
  <c r="CD30" i="7"/>
  <c r="BF45" i="7"/>
  <c r="BE45" i="7"/>
  <c r="BF52" i="7"/>
  <c r="BE52" i="7"/>
  <c r="BF46" i="7"/>
  <c r="BG46" i="7" s="1" a="1"/>
  <c r="BG46" i="7" s="1"/>
  <c r="BE46" i="7"/>
  <c r="BF48" i="7"/>
  <c r="BG48" i="7" s="1" a="1"/>
  <c r="BG48" i="7" s="1"/>
  <c r="BE48" i="7"/>
  <c r="BF50" i="7"/>
  <c r="BG50" i="7" s="1" a="1"/>
  <c r="BG50" i="7" s="1"/>
  <c r="BE50" i="7"/>
  <c r="DC5" i="7" a="1"/>
  <c r="DC5" i="7" s="1"/>
  <c r="BF13" i="7"/>
  <c r="BG13" i="7" s="1" a="1"/>
  <c r="BG13" i="7" s="1"/>
  <c r="BF33" i="7"/>
  <c r="BG33" i="7" s="1" a="1"/>
  <c r="BG33" i="7" s="1"/>
  <c r="BF22" i="7"/>
  <c r="BG22" i="7" s="1" a="1"/>
  <c r="BG22" i="7" s="1"/>
  <c r="BF6" i="7"/>
  <c r="BG6" i="7" s="1" a="1"/>
  <c r="BG6" i="7" s="1"/>
  <c r="BF19" i="7"/>
  <c r="BF11" i="7"/>
  <c r="BG11" i="7" s="1" a="1"/>
  <c r="BG11" i="7" s="1"/>
  <c r="BF44" i="7"/>
  <c r="BG44" i="7" s="1" a="1"/>
  <c r="BG44" i="7" s="1"/>
  <c r="BF35" i="7"/>
  <c r="BG35" i="7" s="1" a="1"/>
  <c r="BG35" i="7" s="1"/>
  <c r="CE28" i="7"/>
  <c r="BF29" i="7"/>
  <c r="BG29" i="7" s="1" a="1"/>
  <c r="BG29" i="7" s="1"/>
  <c r="BF10" i="7"/>
  <c r="BG10" i="7" s="1" a="1"/>
  <c r="BG10" i="7" s="1"/>
  <c r="BF38" i="7"/>
  <c r="BG38" i="7" s="1" a="1"/>
  <c r="BG38" i="7" s="1"/>
  <c r="BF16" i="7"/>
  <c r="BG16" i="7" s="1" a="1"/>
  <c r="BG16" i="7" s="1"/>
  <c r="BF32" i="7"/>
  <c r="BG32" i="7" s="1" a="1"/>
  <c r="BG32" i="7" s="1"/>
  <c r="BF12" i="7"/>
  <c r="BG12" i="7" s="1" a="1"/>
  <c r="BG12" i="7" s="1"/>
  <c r="BF42" i="7"/>
  <c r="BG42" i="7" s="1" a="1"/>
  <c r="BG42" i="7" s="1"/>
  <c r="BF14" i="7"/>
  <c r="BG14" i="7" s="1" a="1"/>
  <c r="BG14" i="7" s="1"/>
  <c r="DB28" i="7"/>
  <c r="BF26" i="7"/>
  <c r="BG26" i="7" s="1" a="1"/>
  <c r="BG26" i="7" s="1"/>
  <c r="BF30" i="7"/>
  <c r="BG30" i="7" s="1" a="1"/>
  <c r="BG30" i="7" s="1"/>
  <c r="BF17" i="7"/>
  <c r="BG17" i="7" s="1" a="1"/>
  <c r="BG17" i="7" s="1"/>
  <c r="BF24" i="7"/>
  <c r="BG24" i="7" s="1" a="1"/>
  <c r="BG24" i="7" s="1"/>
  <c r="BF23" i="7"/>
  <c r="BG23" i="7" s="1" a="1"/>
  <c r="BG23" i="7" s="1"/>
  <c r="BF21" i="7"/>
  <c r="BG21" i="7" s="1" a="1"/>
  <c r="BG21" i="7" s="1"/>
  <c r="BF5" i="7"/>
  <c r="BF9" i="7"/>
  <c r="BG9" i="7" s="1" a="1"/>
  <c r="BG9" i="7" s="1"/>
  <c r="BF18" i="7"/>
  <c r="BG18" i="7" s="1" a="1"/>
  <c r="BG18" i="7" s="1"/>
  <c r="BF37" i="7"/>
  <c r="BG37" i="7" s="1" a="1"/>
  <c r="BG37" i="7" s="1"/>
  <c r="BF15" i="7"/>
  <c r="BG15" i="7" s="1" a="1"/>
  <c r="BG15" i="7" s="1"/>
  <c r="BF34" i="7"/>
  <c r="BG34" i="7" s="1" a="1"/>
  <c r="BG34" i="7" s="1"/>
  <c r="BF25" i="7"/>
  <c r="BG25" i="7" s="1" a="1"/>
  <c r="BG25" i="7" s="1"/>
  <c r="BF7" i="7"/>
  <c r="BG7" i="7" s="1" a="1"/>
  <c r="BG7" i="7" s="1"/>
  <c r="BF27" i="7"/>
  <c r="BG27" i="7" s="1" a="1"/>
  <c r="BG27" i="7" s="1"/>
  <c r="BF20" i="7"/>
  <c r="BG20" i="7" s="1" a="1"/>
  <c r="BG20" i="7" s="1"/>
  <c r="BF28" i="7"/>
  <c r="BG28" i="7" s="1" a="1"/>
  <c r="BG28" i="7" s="1"/>
  <c r="BF36" i="7"/>
  <c r="BG36" i="7" s="1" a="1"/>
  <c r="BG36" i="7" s="1"/>
  <c r="BF39" i="7"/>
  <c r="BG39" i="7" s="1" a="1"/>
  <c r="BG39" i="7" s="1"/>
  <c r="BF31" i="7"/>
  <c r="BG31" i="7" s="1" a="1"/>
  <c r="BG31" i="7" s="1"/>
  <c r="BF47" i="7"/>
  <c r="BG47" i="7" s="1" a="1"/>
  <c r="BG47" i="7" s="1"/>
  <c r="BF49" i="7"/>
  <c r="BG49" i="7" s="1" a="1"/>
  <c r="BG49" i="7" s="1"/>
  <c r="BG45" i="7" a="1"/>
  <c r="BG45" i="7" s="1"/>
  <c r="DC21" i="7" a="1"/>
  <c r="DC21" i="7" s="1"/>
  <c r="CF14" i="7" a="1"/>
  <c r="CF14" i="7" s="1"/>
  <c r="CF16" i="7" a="1"/>
  <c r="CF16" i="7" s="1"/>
  <c r="DZ6" i="7" a="1"/>
  <c r="DZ6" i="7" s="1"/>
  <c r="DC10" i="7" a="1"/>
  <c r="DC10" i="7" s="1"/>
  <c r="DC49" i="7" a="1"/>
  <c r="DC49" i="7" s="1"/>
  <c r="DZ12" i="7" a="1"/>
  <c r="DZ12" i="7" s="1"/>
  <c r="DC26" i="7" a="1"/>
  <c r="DC26" i="7" s="1"/>
  <c r="DC52" i="7" a="1"/>
  <c r="DC52" i="7" s="1"/>
  <c r="FR221" i="7" l="1"/>
  <c r="DH138" i="7"/>
  <c r="DY57" i="7"/>
  <c r="BF57" i="7"/>
  <c r="DH178" i="7"/>
  <c r="DY56" i="7"/>
  <c r="DC7" i="7" a="1"/>
  <c r="DC7" i="7" s="1"/>
  <c r="DY58" i="7"/>
  <c r="BF67" i="7"/>
  <c r="BG67" i="7" s="1"/>
  <c r="DY67" i="7"/>
  <c r="DZ67" i="7" s="1"/>
  <c r="DY62" i="7"/>
  <c r="DZ62" i="7" s="1"/>
  <c r="DY60" i="7"/>
  <c r="DZ60" i="7" s="1"/>
  <c r="DC17" i="7" a="1"/>
  <c r="DC17" i="7" s="1"/>
  <c r="FR141" i="7"/>
  <c r="FR139" i="7"/>
  <c r="DZ47" i="7" a="1"/>
  <c r="DZ47" i="7" s="1"/>
  <c r="DZ18" i="7" a="1"/>
  <c r="DZ18" i="7" s="1"/>
  <c r="DY61" i="7"/>
  <c r="DZ61" i="7" s="1"/>
  <c r="DY64" i="7"/>
  <c r="DZ64" i="7" s="1"/>
  <c r="FR140" i="7"/>
  <c r="FR222" i="7"/>
  <c r="DY66" i="7"/>
  <c r="DZ66" i="7" s="1"/>
  <c r="DY65" i="7"/>
  <c r="DZ65" i="7" s="1"/>
  <c r="BR142" i="7"/>
  <c r="DB65" i="7"/>
  <c r="DC65" i="7" s="1"/>
  <c r="DY63" i="7"/>
  <c r="DZ63" i="7" s="1"/>
  <c r="DH139" i="7"/>
  <c r="DB64" i="7"/>
  <c r="DC64" i="7" s="1"/>
  <c r="BR179" i="7"/>
  <c r="CE62" i="7"/>
  <c r="CF62" i="7" s="1"/>
  <c r="DB60" i="7"/>
  <c r="DC60" i="7" s="1"/>
  <c r="BR177" i="7"/>
  <c r="CF11" i="7" a="1"/>
  <c r="CF11" i="7" s="1"/>
  <c r="CE58" i="7"/>
  <c r="BR178" i="7"/>
  <c r="T169" i="7"/>
  <c r="T168" i="7"/>
  <c r="DB58" i="7"/>
  <c r="DH214" i="7"/>
  <c r="DB66" i="7"/>
  <c r="DC66" i="7" s="1"/>
  <c r="DB57" i="7"/>
  <c r="DB67" i="7"/>
  <c r="DC67" i="7" s="1"/>
  <c r="BG19" i="7" a="1"/>
  <c r="BG19" i="7" s="1"/>
  <c r="CE60" i="7"/>
  <c r="CF60" i="7" s="1"/>
  <c r="DC28" i="7" a="1"/>
  <c r="DC28" i="7" s="1"/>
  <c r="DH215" i="7"/>
  <c r="CE64" i="7"/>
  <c r="CF64" i="7" s="1"/>
  <c r="CE67" i="7"/>
  <c r="CF67" i="7" s="1"/>
  <c r="DB62" i="7"/>
  <c r="DC62" i="7" s="1"/>
  <c r="CE57" i="7"/>
  <c r="DB61" i="7"/>
  <c r="DC61" i="7" s="1"/>
  <c r="BR218" i="7"/>
  <c r="CE63" i="7"/>
  <c r="CF63" i="7" s="1"/>
  <c r="DB63" i="7"/>
  <c r="DC63" i="7" s="1"/>
  <c r="CE65" i="7"/>
  <c r="CF65" i="7" s="1"/>
  <c r="CF28" i="7" a="1"/>
  <c r="CF28" i="7" s="1"/>
  <c r="DH216" i="7"/>
  <c r="BR217" i="7"/>
  <c r="BF65" i="7"/>
  <c r="BG65" i="7" s="1"/>
  <c r="BF64" i="7"/>
  <c r="BG64" i="7" s="1"/>
  <c r="BF63" i="7"/>
  <c r="BG63" i="7" s="1"/>
  <c r="BF58" i="7"/>
  <c r="BF61" i="7"/>
  <c r="BG61" i="7" s="1"/>
  <c r="BF60" i="7"/>
  <c r="BG60" i="7" s="1"/>
  <c r="BF62" i="7"/>
  <c r="BG62" i="7" s="1"/>
  <c r="BF66" i="7"/>
  <c r="BG66" i="7" s="1"/>
  <c r="CE66" i="7"/>
  <c r="CF66" i="7" s="1"/>
  <c r="CE61" i="7"/>
  <c r="CF61" i="7" s="1"/>
  <c r="T167" i="7"/>
  <c r="BR216" i="7"/>
  <c r="BG5" i="7" a="1"/>
  <c r="BG5" i="7" s="1"/>
  <c r="CE56" i="7"/>
  <c r="BG52" i="7" a="1"/>
  <c r="BG52" i="7" s="1"/>
  <c r="T219" i="7"/>
  <c r="T217" i="7"/>
  <c r="T218" i="7"/>
  <c r="BF56" i="7"/>
  <c r="DB56" i="7"/>
  <c r="DH177" i="7"/>
  <c r="DH176" i="7"/>
  <c r="DH140" i="7"/>
  <c r="BR144" i="7"/>
  <c r="BR143" i="7"/>
  <c r="T140" i="7"/>
  <c r="FR223" i="7"/>
  <c r="EB80" i="7"/>
  <c r="DY54" i="7" l="1"/>
  <c r="CE55" i="7"/>
  <c r="CF55" i="7" s="1"/>
  <c r="DY55" i="7"/>
  <c r="BF54" i="7"/>
  <c r="BG54" i="7" s="1"/>
  <c r="BF55" i="7"/>
  <c r="BG55" i="7" s="1"/>
  <c r="DB55" i="7"/>
  <c r="DC56" i="7" s="1"/>
  <c r="CE54" i="7"/>
  <c r="CF54" i="7" s="1"/>
  <c r="EB79" i="7" l="1"/>
  <c r="EB8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Gongolo74</author>
  </authors>
  <commentList>
    <comment ref="H91" authorId="0" shapeId="0" xr:uid="{D9939788-52F5-49AD-8DAF-F9640BC8FD63}">
      <text>
        <r>
          <rPr>
            <b/>
            <sz val="9"/>
            <color indexed="81"/>
            <rFont val="Tahoma"/>
            <family val="2"/>
          </rPr>
          <t>Andrea Gagna:</t>
        </r>
        <r>
          <rPr>
            <sz val="9"/>
            <color indexed="81"/>
            <rFont val="Tahoma"/>
            <family val="2"/>
          </rPr>
          <t xml:space="preserve">
2007001782</t>
        </r>
      </text>
    </comment>
    <comment ref="H92" authorId="0" shapeId="0" xr:uid="{205273D6-8CDE-450F-BDE4-4FA302ED15C3}">
      <text>
        <r>
          <rPr>
            <b/>
            <sz val="9"/>
            <color indexed="81"/>
            <rFont val="Tahoma"/>
            <family val="2"/>
          </rPr>
          <t>Andrea Gagna:</t>
        </r>
        <r>
          <rPr>
            <sz val="9"/>
            <color indexed="81"/>
            <rFont val="Tahoma"/>
            <family val="2"/>
          </rPr>
          <t xml:space="preserve">
2007001782</t>
        </r>
      </text>
    </comment>
    <comment ref="H93" authorId="0" shapeId="0" xr:uid="{ED13A8D6-E3AF-41D1-8CDA-65BD1B60DB03}">
      <text>
        <r>
          <rPr>
            <b/>
            <sz val="9"/>
            <color indexed="81"/>
            <rFont val="Tahoma"/>
            <family val="2"/>
          </rPr>
          <t>Andrea Gagna:</t>
        </r>
        <r>
          <rPr>
            <sz val="9"/>
            <color indexed="81"/>
            <rFont val="Tahoma"/>
            <family val="2"/>
          </rPr>
          <t xml:space="preserve">
2007001782</t>
        </r>
      </text>
    </comment>
    <comment ref="H94" authorId="0" shapeId="0" xr:uid="{CDD4D17B-08D1-49F2-9A1B-EF55BA089A0E}">
      <text>
        <r>
          <rPr>
            <b/>
            <sz val="9"/>
            <color indexed="81"/>
            <rFont val="Tahoma"/>
            <family val="2"/>
          </rPr>
          <t>Andrea Gagna:</t>
        </r>
        <r>
          <rPr>
            <sz val="9"/>
            <color indexed="81"/>
            <rFont val="Tahoma"/>
            <family val="2"/>
          </rPr>
          <t xml:space="preserve">
2007001782</t>
        </r>
      </text>
    </comment>
    <comment ref="H131" authorId="0" shapeId="0" xr:uid="{739C686B-7CF1-488D-B1C4-6507303FD112}">
      <text>
        <r>
          <rPr>
            <b/>
            <sz val="9"/>
            <color indexed="81"/>
            <rFont val="Tahoma"/>
            <family val="2"/>
          </rPr>
          <t>Andrea Gagna:</t>
        </r>
        <r>
          <rPr>
            <sz val="9"/>
            <color indexed="81"/>
            <rFont val="Tahoma"/>
            <family val="2"/>
          </rPr>
          <t xml:space="preserve">
Forse 2010000193</t>
        </r>
      </text>
    </comment>
    <comment ref="H132" authorId="0" shapeId="0" xr:uid="{6F14165A-FA75-44A4-92DB-0F4B17A86426}">
      <text>
        <r>
          <rPr>
            <b/>
            <sz val="9"/>
            <color indexed="81"/>
            <rFont val="Tahoma"/>
            <family val="2"/>
          </rPr>
          <t>Andrea Gagna:</t>
        </r>
        <r>
          <rPr>
            <sz val="9"/>
            <color indexed="81"/>
            <rFont val="Tahoma"/>
            <family val="2"/>
          </rPr>
          <t xml:space="preserve">
Forse 2010000193</t>
        </r>
      </text>
    </comment>
    <comment ref="H133" authorId="0" shapeId="0" xr:uid="{4F35C367-E934-4318-9357-46328F940D73}">
      <text>
        <r>
          <rPr>
            <b/>
            <sz val="9"/>
            <color indexed="81"/>
            <rFont val="Tahoma"/>
            <family val="2"/>
          </rPr>
          <t>Andrea Gagna:</t>
        </r>
        <r>
          <rPr>
            <sz val="9"/>
            <color indexed="81"/>
            <rFont val="Tahoma"/>
            <family val="2"/>
          </rPr>
          <t xml:space="preserve">
Forse 2010000193</t>
        </r>
      </text>
    </comment>
    <comment ref="H134" authorId="0" shapeId="0" xr:uid="{A0DC27E6-997B-4010-8E77-DD1AA0A00005}">
      <text>
        <r>
          <rPr>
            <b/>
            <sz val="9"/>
            <color indexed="81"/>
            <rFont val="Tahoma"/>
            <family val="2"/>
          </rPr>
          <t>Andrea Gagna:</t>
        </r>
        <r>
          <rPr>
            <sz val="9"/>
            <color indexed="81"/>
            <rFont val="Tahoma"/>
            <family val="2"/>
          </rPr>
          <t xml:space="preserve">
Forse 2010000193</t>
        </r>
      </text>
    </comment>
    <comment ref="H135" authorId="0" shapeId="0" xr:uid="{0FE15981-146B-44F8-A225-3D079122CD1B}">
      <text>
        <r>
          <rPr>
            <b/>
            <sz val="9"/>
            <color indexed="81"/>
            <rFont val="Tahoma"/>
            <family val="2"/>
          </rPr>
          <t>Andrea Gagna:</t>
        </r>
        <r>
          <rPr>
            <sz val="9"/>
            <color indexed="81"/>
            <rFont val="Tahoma"/>
            <family val="2"/>
          </rPr>
          <t xml:space="preserve">
2007000042</t>
        </r>
      </text>
    </comment>
    <comment ref="H136" authorId="0" shapeId="0" xr:uid="{8D0D74CF-5737-45AF-887D-F4B7BFC61025}">
      <text>
        <r>
          <rPr>
            <b/>
            <sz val="9"/>
            <color indexed="81"/>
            <rFont val="Tahoma"/>
            <family val="2"/>
          </rPr>
          <t>Andrea Gagna:</t>
        </r>
        <r>
          <rPr>
            <sz val="9"/>
            <color indexed="81"/>
            <rFont val="Tahoma"/>
            <family val="2"/>
          </rPr>
          <t xml:space="preserve">
2007000042</t>
        </r>
      </text>
    </comment>
    <comment ref="H137" authorId="0" shapeId="0" xr:uid="{96C64252-0044-4D16-86A8-780CBB19542C}">
      <text>
        <r>
          <rPr>
            <b/>
            <sz val="9"/>
            <color indexed="81"/>
            <rFont val="Tahoma"/>
            <family val="2"/>
          </rPr>
          <t>Andrea Gagna:</t>
        </r>
        <r>
          <rPr>
            <sz val="9"/>
            <color indexed="81"/>
            <rFont val="Tahoma"/>
            <family val="2"/>
          </rPr>
          <t xml:space="preserve">
2007000042</t>
        </r>
      </text>
    </comment>
    <comment ref="H138" authorId="0" shapeId="0" xr:uid="{4035C1E7-FEDF-4384-901E-65F64DB39278}">
      <text>
        <r>
          <rPr>
            <b/>
            <sz val="9"/>
            <color indexed="81"/>
            <rFont val="Tahoma"/>
            <family val="2"/>
          </rPr>
          <t>Andrea Gagna:</t>
        </r>
        <r>
          <rPr>
            <sz val="9"/>
            <color indexed="81"/>
            <rFont val="Tahoma"/>
            <family val="2"/>
          </rPr>
          <t xml:space="preserve">
2007000042</t>
        </r>
      </text>
    </comment>
    <comment ref="H179" authorId="0" shapeId="0" xr:uid="{C7442AD0-FEBF-47AE-B1E4-8772C6328419}">
      <text>
        <r>
          <rPr>
            <b/>
            <sz val="9"/>
            <color indexed="81"/>
            <rFont val="Tahoma"/>
            <family val="2"/>
          </rPr>
          <t>Andrea Gagna4:</t>
        </r>
        <r>
          <rPr>
            <sz val="9"/>
            <color indexed="81"/>
            <rFont val="Tahoma"/>
            <family val="2"/>
          </rPr>
          <t xml:space="preserve">
2007001730</t>
        </r>
      </text>
    </comment>
    <comment ref="H180" authorId="0" shapeId="0" xr:uid="{EA88C6B7-2023-4D2D-8BDD-EE7B3E4A23A3}">
      <text>
        <r>
          <rPr>
            <b/>
            <sz val="9"/>
            <color indexed="81"/>
            <rFont val="Tahoma"/>
            <family val="2"/>
          </rPr>
          <t>Andrea Gagna4:</t>
        </r>
        <r>
          <rPr>
            <sz val="9"/>
            <color indexed="81"/>
            <rFont val="Tahoma"/>
            <family val="2"/>
          </rPr>
          <t xml:space="preserve">
2007001730</t>
        </r>
      </text>
    </comment>
    <comment ref="H181" authorId="0" shapeId="0" xr:uid="{7308275B-BB1D-4C8A-A617-AC4F7BB4680B}">
      <text>
        <r>
          <rPr>
            <b/>
            <sz val="9"/>
            <color indexed="81"/>
            <rFont val="Tahoma"/>
            <family val="2"/>
          </rPr>
          <t>Andrea Gagna4:</t>
        </r>
        <r>
          <rPr>
            <sz val="9"/>
            <color indexed="81"/>
            <rFont val="Tahoma"/>
            <family val="2"/>
          </rPr>
          <t xml:space="preserve">
2007001730</t>
        </r>
      </text>
    </comment>
    <comment ref="H182" authorId="0" shapeId="0" xr:uid="{080DA9C4-3F7B-460F-B73F-816F4B364C68}">
      <text>
        <r>
          <rPr>
            <b/>
            <sz val="9"/>
            <color indexed="81"/>
            <rFont val="Tahoma"/>
            <family val="2"/>
          </rPr>
          <t>Andrea Gagna4:</t>
        </r>
        <r>
          <rPr>
            <sz val="9"/>
            <color indexed="81"/>
            <rFont val="Tahoma"/>
            <family val="2"/>
          </rPr>
          <t xml:space="preserve">
2007001730</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<sst xmlns="http://schemas.openxmlformats.org/spreadsheetml/2006/main" count="3501" uniqueCount="630">
  <si>
    <t>Organizzazione</t>
  </si>
  <si>
    <t>Sito</t>
  </si>
  <si>
    <t>ENEL PRODUZIONE S.p.A. - U.B. La Casella</t>
  </si>
  <si>
    <t>Centrale di La Casella</t>
  </si>
  <si>
    <t>A2A GENCOGAS SPA</t>
  </si>
  <si>
    <t>Centrale di Cassano d'Adda</t>
  </si>
  <si>
    <t>ENEL PRODUZIONE S.p.A. - U.B. TORREVALDALIGA NORD</t>
  </si>
  <si>
    <t>Centrale termoelettrica di Torrevaldaliga Nord</t>
  </si>
  <si>
    <t>EP Produzione S.p.A.</t>
  </si>
  <si>
    <t>Centrale di Tavazzano e Montanaso</t>
  </si>
  <si>
    <t>A2A CALORE &amp; SERVIZI S.R.L.</t>
  </si>
  <si>
    <t>Centrale di Cogenerazione Lamarmora</t>
  </si>
  <si>
    <t>IREN ENERGIA S.P.A.</t>
  </si>
  <si>
    <t>Centrale Termoelettrica di Turbigo</t>
  </si>
  <si>
    <t>ENEL PRODUZIONE S.p.A. - Generazione Italia U.B. Sulcis</t>
  </si>
  <si>
    <t>Centrale Grazia Deledda</t>
  </si>
  <si>
    <t>Centrale Termoelettrica Sermide</t>
  </si>
  <si>
    <t>ENEL PRODUZIONE S.p.A. - U.B. FUSINA</t>
  </si>
  <si>
    <t>Impianto Termoelettrico "Andrea Palladio di Fusina"</t>
  </si>
  <si>
    <t>Centrale Termoelettrica di Piacenza</t>
  </si>
  <si>
    <t>Centrale Termoelettrica di Chivasso</t>
  </si>
  <si>
    <t>Centrale di Trapani</t>
  </si>
  <si>
    <t>Centrale Termoelettrica di Ostiglia</t>
  </si>
  <si>
    <t>ENEL Produzione S.p.A. - Power Plant La Spezia</t>
  </si>
  <si>
    <t>Centrale Termoelettrica "Eugenio Montale"</t>
  </si>
  <si>
    <t>FIUME SANTO S.P.A.</t>
  </si>
  <si>
    <t>Centrale Termoelettrica Fiume Santo</t>
  </si>
  <si>
    <t>ENEL PRODUZIONE S.p.A. - Power Plant North CENTRALE PORTO CORSINI</t>
  </si>
  <si>
    <t>Centrale di Porto Corsini</t>
  </si>
  <si>
    <t>Centrale Termoelettrica del Mincio</t>
  </si>
  <si>
    <t>VOGHERA ENERGIA S.P.A.</t>
  </si>
  <si>
    <t>Voghera</t>
  </si>
  <si>
    <t>Centrale Termoelettrica di Moncalieri</t>
  </si>
  <si>
    <t>SORGENIA POWER S.P.A.</t>
  </si>
  <si>
    <t>Centrale di Termoli</t>
  </si>
  <si>
    <t>ENEL PRODUZIONE S.p.A. - U.B. Centro - Centrale Santa Barbara</t>
  </si>
  <si>
    <t>Impianto termoelettrico di Santa Barbara</t>
  </si>
  <si>
    <t>ALTO GARDA POWER Srl</t>
  </si>
  <si>
    <t xml:space="preserve">Viale Rovereto, 15 </t>
  </si>
  <si>
    <t>SEA ENERGIA S.P.A.</t>
  </si>
  <si>
    <t>Centrale di Malpensa</t>
  </si>
  <si>
    <t>Centrale di Linate</t>
  </si>
  <si>
    <t>HERA S.P.A.</t>
  </si>
  <si>
    <t>Centrale di cogenerazione di Imola</t>
  </si>
  <si>
    <t>SET S.P.A.</t>
  </si>
  <si>
    <t>Centrale Teverola</t>
  </si>
  <si>
    <t>ENEL PRODUZIONE S.p.A. - U.B. Pietrafitta</t>
  </si>
  <si>
    <t>Centrale  "Franco Rasetti-UB Pietrafitta"</t>
  </si>
  <si>
    <t>Centrale di cogenerazione Canavese</t>
  </si>
  <si>
    <t>TIRRENO POWER S.P.A. - NAPOLI LEVANTE</t>
  </si>
  <si>
    <t>Centrale Termoelettrica di Napoli Levante</t>
  </si>
  <si>
    <t>OSPEDALE SAN RAFFAELE S.r.l.</t>
  </si>
  <si>
    <t>Centrale di Cogenerazione di Vimodrone</t>
  </si>
  <si>
    <t>SOCIETÀ ENIPOWER FERRARA S.R.L.</t>
  </si>
  <si>
    <t>Stabilimento di Ferrara</t>
  </si>
  <si>
    <t>FIUMICINO ENERGIA S.R.L.</t>
  </si>
  <si>
    <t>Centrale di cogenerazione di Aeroporto di Roma</t>
  </si>
  <si>
    <t>ARCELORMITTAL  ITALY ENERGY S.r.l.</t>
  </si>
  <si>
    <t>Centrale di Taranto</t>
  </si>
  <si>
    <t>NOVEL S.P.A.</t>
  </si>
  <si>
    <t>Centrale di Novara</t>
  </si>
  <si>
    <t>EN PLUS S.r.l.</t>
  </si>
  <si>
    <t>Centrale di San Severo</t>
  </si>
  <si>
    <t>SORGENIA PUGLIA S.p.A.</t>
  </si>
  <si>
    <t>Centrale Termoelettrica di Modugno</t>
  </si>
  <si>
    <t>ZOLA PREDOSA TELERISCALDAMENTO S.r.l.</t>
  </si>
  <si>
    <t>Centrale di cogenerazione Zola P.</t>
  </si>
  <si>
    <t>ERGOSUD S.P.A.</t>
  </si>
  <si>
    <t>Centrale di Scandale</t>
  </si>
  <si>
    <t>Centrale Termoelettrica di Gissi</t>
  </si>
  <si>
    <t>Centrale Termoelettrica Torino Nord</t>
  </si>
  <si>
    <t>ENGIE Produzione SpA</t>
  </si>
  <si>
    <t>ENEL PRODUZIONE S.p.A. - U.B. Brindisi</t>
  </si>
  <si>
    <t>Impianto Termoelettrico Federico II</t>
  </si>
  <si>
    <t>EP Produzione Centrale Livorno Ferraris S.p.A.</t>
  </si>
  <si>
    <t>Centrale di Livorno Ferraris</t>
  </si>
  <si>
    <t>ERG POWER S.R.L.</t>
  </si>
  <si>
    <t>Centrale di Priolo Gargallo</t>
  </si>
  <si>
    <t>Centrale di Aprilia</t>
  </si>
  <si>
    <t>DS SMITH PAPER ITALIA S.r.l.</t>
  </si>
  <si>
    <t>Centrale termica di Porcari</t>
  </si>
  <si>
    <t>TERMICA COLLEFERRO S.p.A.</t>
  </si>
  <si>
    <t>Termica Colleferro</t>
  </si>
  <si>
    <t>Centrale di Turano L. e Bertonico</t>
  </si>
  <si>
    <t>Rosignano</t>
  </si>
  <si>
    <t>EPRTR</t>
  </si>
  <si>
    <t>LCP</t>
  </si>
  <si>
    <t>ETS</t>
  </si>
  <si>
    <t>no</t>
  </si>
  <si>
    <t>sì</t>
  </si>
  <si>
    <t>IT-000017</t>
  </si>
  <si>
    <t>IT-000024</t>
  </si>
  <si>
    <t>IT-000031</t>
  </si>
  <si>
    <t>IT-000032</t>
  </si>
  <si>
    <t>IT-000044</t>
  </si>
  <si>
    <t>IT-000051</t>
  </si>
  <si>
    <t>IT-000077</t>
  </si>
  <si>
    <t>IT-000096</t>
  </si>
  <si>
    <t>IT-000104</t>
  </si>
  <si>
    <t>IT-000167</t>
  </si>
  <si>
    <t>IT-000176</t>
  </si>
  <si>
    <t>IT-000236</t>
  </si>
  <si>
    <t>IT-000355</t>
  </si>
  <si>
    <t>IT-000376</t>
  </si>
  <si>
    <t>IT-000403</t>
  </si>
  <si>
    <t>IT-000461</t>
  </si>
  <si>
    <t>IT-000506</t>
  </si>
  <si>
    <t>IT-000695</t>
  </si>
  <si>
    <t>IT-000749</t>
  </si>
  <si>
    <t>IT-000992</t>
  </si>
  <si>
    <t>IT-001227</t>
  </si>
  <si>
    <t>IT-001263</t>
  </si>
  <si>
    <t>IT-001279</t>
  </si>
  <si>
    <t>IT-001333</t>
  </si>
  <si>
    <t>IT-001337</t>
  </si>
  <si>
    <t>IT-001360</t>
  </si>
  <si>
    <t>IT-001386</t>
  </si>
  <si>
    <t>IT-001392</t>
  </si>
  <si>
    <t>IT-001393</t>
  </si>
  <si>
    <t>IT-001459</t>
  </si>
  <si>
    <t>IT-001490</t>
  </si>
  <si>
    <t>IT-001508</t>
  </si>
  <si>
    <t>IT-001510</t>
  </si>
  <si>
    <t>IT-001532</t>
  </si>
  <si>
    <t>IT-001537</t>
  </si>
  <si>
    <t>IT-001543</t>
  </si>
  <si>
    <t>IT-001609</t>
  </si>
  <si>
    <t>IT-001631</t>
  </si>
  <si>
    <t>IT-001644</t>
  </si>
  <si>
    <t>IT-001684</t>
  </si>
  <si>
    <t>IT-001699</t>
  </si>
  <si>
    <t>IT-001708</t>
  </si>
  <si>
    <t>IT-001713</t>
  </si>
  <si>
    <t>IT-001715</t>
  </si>
  <si>
    <t>IT-001732</t>
  </si>
  <si>
    <t>IT-001781</t>
  </si>
  <si>
    <t>IT-001790</t>
  </si>
  <si>
    <t>IT-001791</t>
  </si>
  <si>
    <t>Numero di registrazione</t>
  </si>
  <si>
    <t>Per la stima della produzione totale complessiva e l'equivalenza in Mwhe è stata utilizzata la relazione:</t>
  </si>
  <si>
    <t>Produzione (GWht) (2017)</t>
  </si>
  <si>
    <t>Produzione (GWhe) (2017)</t>
  </si>
  <si>
    <t>Produzione totale (GWhe equivalenti) (2017)</t>
  </si>
  <si>
    <t>Produzione (GWht) (2018)</t>
  </si>
  <si>
    <t>Produzione (GWhe) (2018)</t>
  </si>
  <si>
    <t>Produzione totale (GWhe equivalenti) (2018)</t>
  </si>
  <si>
    <t>Produzione (GWht) (2019)</t>
  </si>
  <si>
    <t>Produzione (GWhe) (2019)</t>
  </si>
  <si>
    <t>Produzione totale (GWhe equivalenti) (2019)</t>
  </si>
  <si>
    <t>Note</t>
  </si>
  <si>
    <t>Tipologia di impianto e note eventuali</t>
  </si>
  <si>
    <t>-</t>
  </si>
  <si>
    <t>Potenza nominale dell'impianto (MWt)</t>
  </si>
  <si>
    <t>Potenza nominale dell'impianto (MWe)</t>
  </si>
  <si>
    <t>Centrale termoelettrica a carbone.</t>
  </si>
  <si>
    <t>Centrale termoelettrica a ciclo combinato a gas naturale.</t>
  </si>
  <si>
    <t>Centrale turbogas composta da due unità in ciclo aperto.</t>
  </si>
  <si>
    <t>I valori specifici sono stati forniti direttamente nella DA, concordano con i valori calcolati. Centrale termoelettrica a carbone.</t>
  </si>
  <si>
    <t>Centrale termoelettrica a ciclo di vapore surriscaldato (carbone, OCD, biomassa vegetale)</t>
  </si>
  <si>
    <t>I valori specifici sono stati forniti direttamente nella DA, concordano con i valori calcolati, a meno di approssimazioni. Centrale termoelettrica a ciclo combinato a gas naturale.</t>
  </si>
  <si>
    <t>I valori specifici sono stati forniti direttamente nella DA, concordano con i valori calcolati. Centrale termoelettrica a ciclo combinato a gas naturale.</t>
  </si>
  <si>
    <t>Centrale a ciclo combinato cogenerativo a gas naturale.</t>
  </si>
  <si>
    <t>Centrale a ciclo combinato a gas naturale.</t>
  </si>
  <si>
    <t>Centrale di cogenerazione e teleriscaldamento a gas naturale.</t>
  </si>
  <si>
    <t>Centrale a ciclo combinato a gas naturale con impianto termoelettrico tradizionale in riserva fredda.</t>
  </si>
  <si>
    <t>Centrale a ciclo combinato cogenerativo a gas naturale per la produzione di energia elettrica e vapore, composto da una turbina a gas, una caldaia a recupero ed una turbina a vapore.</t>
  </si>
  <si>
    <t>Centrale a ciclo combinato turbogas/turbovapore a gas naturale.</t>
  </si>
  <si>
    <t>Centrale di cogenerazione con caldaia a biomassa e caldaia a metano.</t>
  </si>
  <si>
    <t>Percentuale sul totale:</t>
  </si>
  <si>
    <t>Emissioni totali italiane annue (t):</t>
  </si>
  <si>
    <t>Totale emissioni annue aziende certificate (t):</t>
  </si>
  <si>
    <t>Incremento emissioni</t>
  </si>
  <si>
    <t>Diminuzione emissioni</t>
  </si>
  <si>
    <t>Centrale di Leinì</t>
  </si>
  <si>
    <t>Centrale a ciclo combinato a due assi, per la produzione di energia elettrica e vapore, con cogenerazione.</t>
  </si>
  <si>
    <t>I valori specifici sono stati forniti direttamente nella DA, ma non concordano con i valori calcolati, probabilmente a causa della somma semplice che è stata effettuata fra la produzione termica ed elettrica. Centrale composta da: n. 1 gruppo termoelettrico in ciclo combinato a gas naturale in assetto di cogenerazione, n. 3 caldaie di integrazione e riserva per teleriscaldamento, n. 1 caldaie ausiliarie per avviamento ciclo combinato.</t>
  </si>
  <si>
    <t>Centrale termoelettrica a ciclo combinato costituita da due turbogas, alimentati a gas naturale e una turbina a vapore.</t>
  </si>
  <si>
    <t>Centrale termoelettrica a ciclo combinato in cogenerazione a gas naturale.</t>
  </si>
  <si>
    <t>Centrale a ciclo combinato cogenerativo a gas naturale e biogas.</t>
  </si>
  <si>
    <t>Tecnologia</t>
  </si>
  <si>
    <t>Ciclo combinato</t>
  </si>
  <si>
    <t>Carbone</t>
  </si>
  <si>
    <t>Cogenerazione</t>
  </si>
  <si>
    <t>I valori specifici sono stati forniti direttamente nella DA, concordano con i valori calcolati. Centrale termoelettrica tradizionale (gas e carbon coke) e ciclo combinato con cogenerazione.</t>
  </si>
  <si>
    <t>Risultati finali per le centrali a carbone:</t>
  </si>
  <si>
    <t>Su un campione di 7 centrali</t>
  </si>
  <si>
    <t>Divisione tecnologica del campione</t>
  </si>
  <si>
    <t>Emissioni di NOx (t) (2017)</t>
  </si>
  <si>
    <t>Emissioni di NOx (t) (2018)</t>
  </si>
  <si>
    <t>Emissioni di NOx (t) (2019)</t>
  </si>
  <si>
    <t>Emissioni specifiche di NOx  (t/GWhe) (2017)</t>
  </si>
  <si>
    <t>Emissioni specifiche di NOx  (t/GWhe) (2018)</t>
  </si>
  <si>
    <t>Emissioni specifiche di NOx  (t/GWhe) (2019)</t>
  </si>
  <si>
    <t>Emissioni di CO (t) (2017)</t>
  </si>
  <si>
    <t>Emissioni di CO (t) (2018)</t>
  </si>
  <si>
    <t>Emissioni di CO (t) (2019)</t>
  </si>
  <si>
    <t>Emissioni specifiche di CO (t/GWhe) (2017)</t>
  </si>
  <si>
    <t>Emissioni specifiche di CO (t/GWhe) (2018)</t>
  </si>
  <si>
    <t>Emissioni specifiche di CO (t/GWhe) (2019)</t>
  </si>
  <si>
    <t>Emissioni di SOx (t) (2017)</t>
  </si>
  <si>
    <t>Emissioni di SOx (t) (2018)</t>
  </si>
  <si>
    <t>Emissioni di SOx (t) (2019)</t>
  </si>
  <si>
    <t>Emissioni specifiche di SOx (t/GWhe) (2017)</t>
  </si>
  <si>
    <t>Emissioni specifiche di SOx (t/GWhe) (2018)</t>
  </si>
  <si>
    <t>Emissioni specifiche di SOx (t/GWhe) (2019)</t>
  </si>
  <si>
    <t>Risultati finali per le centrali a ciclo combinato:</t>
  </si>
  <si>
    <t>Varianza delle variazioni =</t>
  </si>
  <si>
    <t>Risultati finali per le centrali di cogenerazione:</t>
  </si>
  <si>
    <t>Media delle variazioni =</t>
  </si>
  <si>
    <t>Deviazione standard delle variazioni =</t>
  </si>
  <si>
    <t>1 GWht = 1 GWhe</t>
  </si>
  <si>
    <t>Totale emissioni solo centrali a carbone.</t>
  </si>
  <si>
    <t>Andamenti generali NOx =</t>
  </si>
  <si>
    <t>Andamenti generali CO =</t>
  </si>
  <si>
    <t>Andamenti generali SOx =</t>
  </si>
  <si>
    <t>Su un campione di 4 centrali effettive</t>
  </si>
  <si>
    <t>Varianza del campione completo =</t>
  </si>
  <si>
    <t>Media del campione completo =</t>
  </si>
  <si>
    <t>Deviazione standard del campione completo =</t>
  </si>
  <si>
    <t>Varianza delle centrali a carbone =</t>
  </si>
  <si>
    <t>Media delle centrali a carbone =</t>
  </si>
  <si>
    <t>Deviazione standard delle centrali a carbone =</t>
  </si>
  <si>
    <t>Varianza delle centrali a ciclo combinato =</t>
  </si>
  <si>
    <t>Media delle centrali a ciclo combinato =</t>
  </si>
  <si>
    <t>Deviazione standard delle centrali a ciclo combinato =</t>
  </si>
  <si>
    <t>Varianza delle centrali di cogenerazione =</t>
  </si>
  <si>
    <t>Media delle centrali di cogenerazione =</t>
  </si>
  <si>
    <t>Deviazione standard delle centrali di cogenerazione =</t>
  </si>
  <si>
    <t>Indirizzo</t>
  </si>
  <si>
    <t>Comune</t>
  </si>
  <si>
    <t>Provincia</t>
  </si>
  <si>
    <t>Regione</t>
  </si>
  <si>
    <t>Sostanza</t>
  </si>
  <si>
    <t>Via Argine Po, 2</t>
  </si>
  <si>
    <t>Castel San Giovanni</t>
  </si>
  <si>
    <t>Piacenza</t>
  </si>
  <si>
    <t>Emilia Romagna</t>
  </si>
  <si>
    <t>NOx</t>
  </si>
  <si>
    <t>SOx</t>
  </si>
  <si>
    <t>CO</t>
  </si>
  <si>
    <t>CO2</t>
  </si>
  <si>
    <t>Via Trecella, 19</t>
  </si>
  <si>
    <t>Cassano d'Adda</t>
  </si>
  <si>
    <t>Milano</t>
  </si>
  <si>
    <t>Lombardia</t>
  </si>
  <si>
    <t>Via Aurelia Nord, 32</t>
  </si>
  <si>
    <t>Civitavecchia</t>
  </si>
  <si>
    <t>Roma</t>
  </si>
  <si>
    <t>Lazio</t>
  </si>
  <si>
    <t>Via Emilia, 12/a</t>
  </si>
  <si>
    <t>Montanaso Lombardo</t>
  </si>
  <si>
    <t>Lodi</t>
  </si>
  <si>
    <t>Via Lamarmora, 230</t>
  </si>
  <si>
    <t>Brescia</t>
  </si>
  <si>
    <t>Via Centrale Termica</t>
  </si>
  <si>
    <t>Turbigo</t>
  </si>
  <si>
    <t>Zona Industriale Portovesme</t>
  </si>
  <si>
    <t>Portoscuso</t>
  </si>
  <si>
    <t>Carbonia Iglesias</t>
  </si>
  <si>
    <t>Sardegna</t>
  </si>
  <si>
    <t>Via C. Colombo, 2</t>
  </si>
  <si>
    <t>Sermide</t>
  </si>
  <si>
    <t>Mantova</t>
  </si>
  <si>
    <t>Via dei Cantieri, 5 - 30176 Marghera</t>
  </si>
  <si>
    <t>Venezia</t>
  </si>
  <si>
    <t>Veneto</t>
  </si>
  <si>
    <t>IT-000107</t>
  </si>
  <si>
    <t>ENEL PRODUZIONE S.p.A. - U.B. Centro -Centrale Termoelettrica Alessandro Volta</t>
  </si>
  <si>
    <t>Centrale Termoelettrica "Alessandro Volta","</t>
  </si>
  <si>
    <t>Loc. Pian dei Gangani</t>
  </si>
  <si>
    <t>Montalto di Castro</t>
  </si>
  <si>
    <t>Viterbo</t>
  </si>
  <si>
    <t>via Nino Bixio, 27</t>
  </si>
  <si>
    <t>Via Mezzano, 69</t>
  </si>
  <si>
    <t>Chivasso</t>
  </si>
  <si>
    <t>Torino</t>
  </si>
  <si>
    <t>Piemonte</t>
  </si>
  <si>
    <t>Contrada Favarotta</t>
  </si>
  <si>
    <t>Trapani</t>
  </si>
  <si>
    <t>Sicilia</t>
  </si>
  <si>
    <t>S.S. Abetone Brennero, km 239</t>
  </si>
  <si>
    <t>Ostiglia</t>
  </si>
  <si>
    <t>Via Valdilocchi, 32</t>
  </si>
  <si>
    <t>La Spezia</t>
  </si>
  <si>
    <t>Liguria</t>
  </si>
  <si>
    <t>Località Cabu Aspru</t>
  </si>
  <si>
    <t>Sassari</t>
  </si>
  <si>
    <t>Via Baiona, 253</t>
  </si>
  <si>
    <t>Ravenna</t>
  </si>
  <si>
    <t>Via S.Nicolo, 26</t>
  </si>
  <si>
    <t>Ponti sul Mincio</t>
  </si>
  <si>
    <t>Via A. Einstein, 24</t>
  </si>
  <si>
    <t>Pavia</t>
  </si>
  <si>
    <t>Strada Freylia Mezzi, 1</t>
  </si>
  <si>
    <t>Moncalieri</t>
  </si>
  <si>
    <t>Via A. Olivetti, snc - Zona Industriale A</t>
  </si>
  <si>
    <t>Termoli</t>
  </si>
  <si>
    <t>Campobasso</t>
  </si>
  <si>
    <t>Molise</t>
  </si>
  <si>
    <t>Via delle Miniere, 5</t>
  </si>
  <si>
    <t>Cavriglia</t>
  </si>
  <si>
    <t>Arezzo</t>
  </si>
  <si>
    <t>Toscana</t>
  </si>
  <si>
    <t>Riva del Garda</t>
  </si>
  <si>
    <t>Trento</t>
  </si>
  <si>
    <t>Trentino Alto Adige</t>
  </si>
  <si>
    <t>Aeroporto Malpensa 2000 – 21010 – Ferno (VA)</t>
  </si>
  <si>
    <t>Ferno</t>
  </si>
  <si>
    <t>Varese</t>
  </si>
  <si>
    <t>Viale dell'Aviazione, 65</t>
  </si>
  <si>
    <t>Via Casalegno 1</t>
  </si>
  <si>
    <t>Imola</t>
  </si>
  <si>
    <t>Bologna</t>
  </si>
  <si>
    <t>S.S. Appia 7/bis, km 15+400</t>
  </si>
  <si>
    <t>Teverola</t>
  </si>
  <si>
    <t>Caserta</t>
  </si>
  <si>
    <t>Campania</t>
  </si>
  <si>
    <t>S.R. 220 Pievaiola Km, 24</t>
  </si>
  <si>
    <t>Piegaro</t>
  </si>
  <si>
    <t>Perugia</t>
  </si>
  <si>
    <t>Umbria</t>
  </si>
  <si>
    <t>Via Cavriana 32</t>
  </si>
  <si>
    <t>Via Stradone Vigliena, 9</t>
  </si>
  <si>
    <t>Napoli</t>
  </si>
  <si>
    <t>Via Cassinella, snc</t>
  </si>
  <si>
    <t>Vimodrone</t>
  </si>
  <si>
    <t>Piazzale Guido Donegani, 12</t>
  </si>
  <si>
    <t>Ferrara</t>
  </si>
  <si>
    <t>Via dell’Aeroporto di Fiumicino, 320</t>
  </si>
  <si>
    <t>Fiumicino</t>
  </si>
  <si>
    <t>Via Appia km 648, snc</t>
  </si>
  <si>
    <t>Taranto</t>
  </si>
  <si>
    <t>Puglia</t>
  </si>
  <si>
    <t>Via Gherzi, 38/40</t>
  </si>
  <si>
    <t>Novara</t>
  </si>
  <si>
    <t>Via Contrada Ratino snc</t>
  </si>
  <si>
    <t>San Severo</t>
  </si>
  <si>
    <t>Foggia</t>
  </si>
  <si>
    <t>Via dei Gladioli, snc</t>
  </si>
  <si>
    <t>Modugno</t>
  </si>
  <si>
    <t>Bari</t>
  </si>
  <si>
    <t>Via dello Sport, 101</t>
  </si>
  <si>
    <t>Zola Predosa</t>
  </si>
  <si>
    <t>SS 107 bis</t>
  </si>
  <si>
    <t>Scandale</t>
  </si>
  <si>
    <t>Crotone</t>
  </si>
  <si>
    <t>Calabria</t>
  </si>
  <si>
    <t>Contrada Selva, 1/A - Zona Industriale</t>
  </si>
  <si>
    <t>Gissi</t>
  </si>
  <si>
    <t>Chieti</t>
  </si>
  <si>
    <t>Abruzzo</t>
  </si>
  <si>
    <t>Strada del Pansa, snc</t>
  </si>
  <si>
    <t>LEINI</t>
  </si>
  <si>
    <t>SP 3 (Cebrosa) km 5+100</t>
  </si>
  <si>
    <t>Leini</t>
  </si>
  <si>
    <t>Località  Cerano</t>
  </si>
  <si>
    <t>Brindisi</t>
  </si>
  <si>
    <t>SP 7 km 9+430</t>
  </si>
  <si>
    <t>Livorno Ferraris</t>
  </si>
  <si>
    <t>Vercelli</t>
  </si>
  <si>
    <t>ex SS 114 - Km 9,5</t>
  </si>
  <si>
    <t>Priolo Gargallo</t>
  </si>
  <si>
    <t>Siracusa</t>
  </si>
  <si>
    <t>Via La Cogna snc</t>
  </si>
  <si>
    <t>Aprilia</t>
  </si>
  <si>
    <t>Latina</t>
  </si>
  <si>
    <t>Via dei Bocci</t>
  </si>
  <si>
    <t>Porcari</t>
  </si>
  <si>
    <t>Lucca</t>
  </si>
  <si>
    <t>via ariana Km 5.2</t>
  </si>
  <si>
    <t>Colleferro</t>
  </si>
  <si>
    <t>Via Gulf Italiana snc</t>
  </si>
  <si>
    <t>Terranova dei Passerini</t>
  </si>
  <si>
    <t>Via Piave, 6</t>
  </si>
  <si>
    <t>Rosignano Solvay</t>
  </si>
  <si>
    <t>Livorno</t>
  </si>
  <si>
    <t>L'azienda ha fornito nella certificazione EMAS i valori delle emissioni specifiche, i valori effettivi delle emissioni sono stati calcolati con la formula inversa.</t>
  </si>
  <si>
    <t>Differenze in % PRTR</t>
  </si>
  <si>
    <t>Differenze in % ETS</t>
  </si>
  <si>
    <t>Differenze in % LCP</t>
  </si>
  <si>
    <t>Calcolo delle differenze in % rispetto alle DA EMAS</t>
  </si>
  <si>
    <t>DA EMAS (t)</t>
  </si>
  <si>
    <t>PRTR (t)</t>
  </si>
  <si>
    <t>ETS (t)</t>
  </si>
  <si>
    <t>LCP (t)</t>
  </si>
  <si>
    <t>I dati di emissioni sono stati forniti per il registro LCP, ma non per la DA!</t>
  </si>
  <si>
    <t>La centrale è in dismissione e pertanto non ha prodotto energia.</t>
  </si>
  <si>
    <t>I dati delle emissioni per il 2017 ed il 2018 non erano presenti nella dichiarazione ambientale.</t>
  </si>
  <si>
    <t>Sono convinto che l'errore sia da attribuire all'aggiunta di un 1 davanti al valore delle emissioni effettive. Togliendo quell'uno il valore torna bene.</t>
  </si>
  <si>
    <t>Note varie ed eventuali</t>
  </si>
  <si>
    <t>Valori fuori scala.</t>
  </si>
  <si>
    <t>Differenze costanti in percentuale.</t>
  </si>
  <si>
    <t>Valori fuori scala</t>
  </si>
  <si>
    <t>Diferenze costanti in percentuale</t>
  </si>
  <si>
    <t>ENEL PRODUZIONE S.p.A. - U.B. La Casella (1)</t>
  </si>
  <si>
    <t>A2A GENCOGAS SPA (2)</t>
  </si>
  <si>
    <t>ENEL PRODUZIONE S.p.A. - U.B. TORREVALDALIGA NORD (3)</t>
  </si>
  <si>
    <t>EP Produzione S.p.A. (4)</t>
  </si>
  <si>
    <t>A2A CALORE &amp; SERVIZI S.R.L. (5)</t>
  </si>
  <si>
    <t>IREN ENERGIA S.P.A. (6)</t>
  </si>
  <si>
    <t>ENEL PRODUZIONE S.p.A. - Generazione Italia U.B. Sulcis (7)</t>
  </si>
  <si>
    <t>A2A GENCOGAS SPA (8)</t>
  </si>
  <si>
    <t>ENEL PRODUZIONE S.p.A. - U.B. FUSINA (9)</t>
  </si>
  <si>
    <t>ENEL PRODUZIONE S.p.A. - U.B. Centro -Centrale Termoelettrica Alessandro Volta (10)</t>
  </si>
  <si>
    <t>A2A GENCOGAS SPA (11)</t>
  </si>
  <si>
    <t>A2A GENCOGAS SPA (12)</t>
  </si>
  <si>
    <t>EP Produzione S.p.A. (13)</t>
  </si>
  <si>
    <t>EP Produzione S.p.A. (14)</t>
  </si>
  <si>
    <t>ENEL Produzione S.p.A. - Power Plant La Spezia (15)</t>
  </si>
  <si>
    <t>FIUME SANTO S.P.A. (16)</t>
  </si>
  <si>
    <t>ENEL PRODUZIONE S.p.A. - Power Plant North CENTRALE PORTO CORSINI (17)</t>
  </si>
  <si>
    <t>A2A GENCOGAS SPA (18)</t>
  </si>
  <si>
    <t>VOGHERA ENERGIA S.P.A. (19)</t>
  </si>
  <si>
    <t>IREN ENERGIA S.P.A. (20)</t>
  </si>
  <si>
    <t>SORGENIA POWER S.P.A. (21)</t>
  </si>
  <si>
    <t>ENEL PRODUZIONE S.p.A. - U.B. Centro - Centrale Santa Barbara (22)</t>
  </si>
  <si>
    <t>ALTO GARDA POWER Srl (23)</t>
  </si>
  <si>
    <t>SEA ENERGIA S.P.A. (24)</t>
  </si>
  <si>
    <t>SEA ENERGIA S.P.A. (25)</t>
  </si>
  <si>
    <t>HERA S.P.A. (26)</t>
  </si>
  <si>
    <t>SET S.P.A. (27)</t>
  </si>
  <si>
    <t>ENEL PRODUZIONE S.p.A. - U.B. Pietrafitta (28)</t>
  </si>
  <si>
    <t>A2A CALORE &amp; SERVIZI S.R.L. (29)</t>
  </si>
  <si>
    <t>TIRRENO POWER S.P.A. - NAPOLI LEVANTE (30)</t>
  </si>
  <si>
    <t>OSPEDALE SAN RAFFAELE S.r.l. (31)</t>
  </si>
  <si>
    <t>SOCIETÀ ENIPOWER FERRARA S.R.L. (32)</t>
  </si>
  <si>
    <t>FIUMICINO ENERGIA S.R.L. (33)</t>
  </si>
  <si>
    <t>ARCELORMITTAL  ITALY ENERGY S.r.l. (34)</t>
  </si>
  <si>
    <t>NOVEL S.P.A. (35)</t>
  </si>
  <si>
    <t>EN PLUS S.r.l. (36)</t>
  </si>
  <si>
    <t>SORGENIA PUGLIA S.p.A. (37)</t>
  </si>
  <si>
    <t>ZOLA PREDOSA TELERISCALDAMENTO S.r.l. (38)</t>
  </si>
  <si>
    <t>ERGOSUD S.P.A. (39)</t>
  </si>
  <si>
    <t>A2A GENCOGAS SPA (40)</t>
  </si>
  <si>
    <t>IREN ENERGIA S.P.A. (41)</t>
  </si>
  <si>
    <t>ENGIE Produzione SpA (42)</t>
  </si>
  <si>
    <t>ENEL PRODUZIONE S.p.A. - U.B. Brindisi (43)</t>
  </si>
  <si>
    <t>EP Produzione Centrale Livorno Ferraris S.p.A. (44)</t>
  </si>
  <si>
    <t>ERG POWER S.R.L. (45)</t>
  </si>
  <si>
    <t>SORGENIA POWER S.P.A. (46)</t>
  </si>
  <si>
    <t>DS SMITH PAPER ITALIA S.r.l. (47)</t>
  </si>
  <si>
    <t>TERMICA COLLEFERRO S.p.A. (48)</t>
  </si>
  <si>
    <t>SORGENIA POWER S.P.A. (49)</t>
  </si>
  <si>
    <t>ENGIE Produzione SpA (50)</t>
  </si>
  <si>
    <t>Statistiche varie</t>
  </si>
  <si>
    <t>Numero di  incongruenze nel registro PRTR =</t>
  </si>
  <si>
    <t>Numero di  incongruenze nel registro ETS =</t>
  </si>
  <si>
    <t>Numero di  incongruenze nel registro LCP =</t>
  </si>
  <si>
    <t>Variazioni positive</t>
  </si>
  <si>
    <t>Variazioni negative</t>
  </si>
  <si>
    <r>
      <t>CO</t>
    </r>
    <r>
      <rPr>
        <vertAlign val="subscript"/>
        <sz val="12"/>
        <color theme="1"/>
        <rFont val="Arial"/>
        <family val="2"/>
      </rPr>
      <t>2</t>
    </r>
  </si>
  <si>
    <t>Variazioni totali</t>
  </si>
  <si>
    <t>Numero totali di emissioni con incongruenze:</t>
  </si>
  <si>
    <t>Sistemi di gestione integrati: le normative più utilizzate:</t>
  </si>
  <si>
    <t>ISO 9001</t>
  </si>
  <si>
    <t>ISO 14001</t>
  </si>
  <si>
    <t>ISO 45001</t>
  </si>
  <si>
    <t>ISO 50001</t>
  </si>
  <si>
    <t>ISO 9001, ISO 14001, ISO 45001, ISO 50001.</t>
  </si>
  <si>
    <t>ISO 14001, 45001.</t>
  </si>
  <si>
    <t>ISO 14001, 45001, 50001.</t>
  </si>
  <si>
    <t>ISO 9001, ISO 14001, 45001.</t>
  </si>
  <si>
    <t>Solo ISO 14001 e/o EMAS.</t>
  </si>
  <si>
    <t>Ciclo combinato a gas naturale</t>
  </si>
  <si>
    <t>Cogenerazione con ciclo combinato a gas naturale</t>
  </si>
  <si>
    <t>Altri sistemi</t>
  </si>
  <si>
    <t>Totale</t>
  </si>
  <si>
    <t>Produzione (GWht) (2011)</t>
  </si>
  <si>
    <t>Produzione (GWhe) (2014)</t>
  </si>
  <si>
    <t>Produzione totale (GWhe equivalenti) (2014)</t>
  </si>
  <si>
    <t>Produzione (GWht) (2015)</t>
  </si>
  <si>
    <t>Produzione (GWhe) (2015)</t>
  </si>
  <si>
    <t>Produzione totale (GWhe equivalenti) (2015)</t>
  </si>
  <si>
    <t>Produzione (GWht) (2016)</t>
  </si>
  <si>
    <t>Produzione (GWhe) (2016)</t>
  </si>
  <si>
    <t>Produzione totale (GWhe equivalenti) (2016)</t>
  </si>
  <si>
    <t>Produzione (GWhe) (2011)</t>
  </si>
  <si>
    <t>Produzione totale (GWhe equivalenti) (2011)</t>
  </si>
  <si>
    <t>Produzione (GWht) (2012)</t>
  </si>
  <si>
    <t>Produzione (GWhe) (2012)</t>
  </si>
  <si>
    <t>Produzione totale (GWhe equivalenti) (2012)</t>
  </si>
  <si>
    <t>Produzione (GWht) (2013)</t>
  </si>
  <si>
    <t>Produzione (GWhe) (2013)</t>
  </si>
  <si>
    <t>Produzione totale (GWhe equivalenti) (2013)</t>
  </si>
  <si>
    <t>Elaborazione dati per valutazioni delle emissioni nell'arco temporale complessivo considerato (2011-2019)</t>
  </si>
  <si>
    <t>Produzione (GWht) (2014)</t>
  </si>
  <si>
    <t>Emissioni di NOx (t) (2011)</t>
  </si>
  <si>
    <t>Emissioni di NOx (t) (2012)</t>
  </si>
  <si>
    <t>Emissioni di NOx (t) (2013)</t>
  </si>
  <si>
    <t>Emissioni di NOx (t) (2014)</t>
  </si>
  <si>
    <t>Emissioni di NOx (t) (2015)</t>
  </si>
  <si>
    <t>Emissioni di NOx (t) (2016)</t>
  </si>
  <si>
    <t>Emissioni specifiche di NOx  (t/GWhe) (2011)</t>
  </si>
  <si>
    <t>Emissioni specifiche di NOx  (t/GWhe) (2012)</t>
  </si>
  <si>
    <t>Emissioni specifiche di NOx  (t/GWhe) (2013)</t>
  </si>
  <si>
    <t>Emissioni specifiche di NOx  (t/GWhe) (2014)</t>
  </si>
  <si>
    <t>Emissioni specifiche di NOx  (t/GWhe) (2015)</t>
  </si>
  <si>
    <t>Emissioni specifiche di NOx  (t/GWhe) (2016)</t>
  </si>
  <si>
    <t>Andamento complessivo</t>
  </si>
  <si>
    <t>Variazioni percentuali nei nove anni</t>
  </si>
  <si>
    <t>Emissioni di CO (t) (2011)</t>
  </si>
  <si>
    <t>Emissioni di CO (t) (2012)</t>
  </si>
  <si>
    <t>Emissioni di CO (t) (2013)</t>
  </si>
  <si>
    <t>Emissioni di CO (t) (2014)</t>
  </si>
  <si>
    <t>Emissioni di CO (t) (2015)</t>
  </si>
  <si>
    <t>Emissioni di CO (t) (2016)</t>
  </si>
  <si>
    <t>Emissioni specifiche di CO (t/GWhe) (2011)</t>
  </si>
  <si>
    <t>Emissioni specifiche di CO (t/GWhe) (2012)</t>
  </si>
  <si>
    <t>Emissioni specifiche di CO (t/GWhe) (2013)</t>
  </si>
  <si>
    <t>Emissioni specifiche di CO (t/GWhe) (2014)</t>
  </si>
  <si>
    <t>Emissioni specifiche di CO (t/GWhe) (2015)</t>
  </si>
  <si>
    <t>Emissioni specifiche di CO (t/GWhe) (2016)</t>
  </si>
  <si>
    <t>Emissioni di SOx (t) (2011)</t>
  </si>
  <si>
    <t>Emissioni di SOx (t) (2012)</t>
  </si>
  <si>
    <t>Emissioni di SOx (t) (2013)</t>
  </si>
  <si>
    <t>Emissioni di SOx (t) (2014)</t>
  </si>
  <si>
    <t>Emissioni di SOx (t) (2015)</t>
  </si>
  <si>
    <t>Emissioni di SOx (t) (2016)</t>
  </si>
  <si>
    <t>Emissioni specifiche di SOx (t/GWhe) (2011)</t>
  </si>
  <si>
    <t>Emissioni specifiche di SOx (t/GWhe) (2012)</t>
  </si>
  <si>
    <t>Emissioni specifiche di SOx (t/GWhe) (2013)</t>
  </si>
  <si>
    <t>Emissioni specifiche di SOx (t/GWhe) (2014)</t>
  </si>
  <si>
    <t>Emissioni specifiche di SOx (t/GWhe) (2015)</t>
  </si>
  <si>
    <t>Emissioni specifiche di SOx (t/GWhe) (2016)</t>
  </si>
  <si>
    <t>Nessun contributo termico. La DA fornisce i valori netti. Sono presenti dati anche per gli anni 2009 e 2010. Obiettivi di miglioramento ambientale con investimenti tecnologici.</t>
  </si>
  <si>
    <t>Note ed obiettivi</t>
  </si>
  <si>
    <t>I valori specifici sono stati forniti direttamente nella DA, concordano abbastanza beni con quelli calcolati. Centrale a ciclo combinato con gas naturale.</t>
  </si>
  <si>
    <t>Centrale termoelettrica a ciclo combinato a gas naturale con cogenerazione di calore. I valori specifici sono stati forniti direttamente nella DA. I valori di emissione della CO si riferiscono solo alle condizioni di esercizio.</t>
  </si>
  <si>
    <t>I valori specifici sono stati forniti direttamente nella DA, concordano con quelli calcolati. Centrale termoelettrica a carbone.</t>
  </si>
  <si>
    <t>La DA fornisce i valori netti. Nessun contributo termico. Obiettivi principalmente ambientali.</t>
  </si>
  <si>
    <t>La DA fornisce i valori netti. Nessun contributo termico. Obiettivi di miglioramento ambientale con investimenti tecnologici.</t>
  </si>
  <si>
    <t>I valori specifici sono stati forniti direttamente nella DA, concordano con quelli calcolati. Centrale termoelettrica a ciclo combinato a gas naturale.</t>
  </si>
  <si>
    <t>I valori specifici sono stati forniti direttamente nella DA, concordano in aprte con i valori calcolati. Centrale termoelettrica a policombustibile e di cogenerazione (gas e carbone).</t>
  </si>
  <si>
    <t>La DA fornisce i valori netti. Presente un contributo termico. Obiettivi principalmente ambientali, con concreti miglioramenti. Non sono state valutate le emissioni di CO.</t>
  </si>
  <si>
    <t>La DA fornisce i valori netti. Nessun contributo termico. Le emissioni massiche sono presenti solo per l'anno 2013, 2016, 2017, 2018 e 2019, per gli altri anni sono presenti le emissioni specifiche. Obiettivi principalmente gestionali.</t>
  </si>
  <si>
    <t>I valori specifici sono stati forniti direttamente nella DA, concordano con i valori calcolati. Centrale a ciclo combinato con gas naturale. Le emissioni negli ultimi anni di SOx sono state considerate nulle.</t>
  </si>
  <si>
    <t>I valori specifici sono stati forniti direttamente nella DA, concordano parzialmente con i valori calcolati. Centrale Centrale termoelettrica carbone e biomasse.</t>
  </si>
  <si>
    <t>La DA fornisce i valori netti. Nessun contributo termico. Obiettivi principalmente gestionali.</t>
  </si>
  <si>
    <t>La DA fornisce i valori netti. Nessun contributo termico. Vengono utilizzati valori differenti di produzione a seconda della pagina. L'incongruenza è dovuta al fatto che sia stata considerata solo l'energia prodotta dal TG per calcolare le emissioni specifiche. Obiettivi ambientali con concreti miglioramenti.</t>
  </si>
  <si>
    <t>I valori specifici sono stati forniti direttamente nella DA, concordano con i valori calcolati. Centrale termoelettrica a ciclo combinato turbogas.</t>
  </si>
  <si>
    <t>La DA fornisce i valori netti. Nessun contributo termico. Obiettivi ambientali, per quanto non molto ambiziosi.</t>
  </si>
  <si>
    <t>I valori specifici sono stati forniti direttamente nella DA, non concordano molto con i valori calcolati. Centrale termoelettrica a carbone, metano e CSS (combustibile solido secondario).</t>
  </si>
  <si>
    <t>La DA fornisce i valori netti. Presente un contributo termico, anche se minoritario e non specificato nel dettaglio. Obiettivi ambientali, per quanto non molto ambiziosi.</t>
  </si>
  <si>
    <t>La DA fornisce i valori netti. Nessun contributo termico. Mancano i valori per il 2013 e il 2014. L'impianto era chiuso nel 2014. Obiettivi principalmente gestionali.</t>
  </si>
  <si>
    <t>La DA fornisce i valori netti. Nessun contributo termico. Sono presenti piccole incongruenze nei valori delle emissioni per il 2014 fra le diverse DA. Obiettivi di miglioramento ambientale con investimenti tecnologici.</t>
  </si>
  <si>
    <t>Centrale termoelettrica a ciclo combinato a gas naturale. In parallelo produce energia idroelettrica sfruttando il salto dell'acqua nel punto di resa. Obiettivi principalmente gestionali.</t>
  </si>
  <si>
    <t>La DA fornisce i valori netti. Nessun contributo termico. Obiettivi principalmente gestionali. La dismissione di un gruppo ad olio combustibile ha portato ad azzerare le emissioni di SOx.</t>
  </si>
  <si>
    <t>La DA fornisce i valori netti. Nessun contributo termico. Obiettivi ambientali.</t>
  </si>
  <si>
    <t>I valori specifici sono stati forniti direttamente nella DA, concordano abbastanza con i valori calcolati. Centrale termoelettrica a ciclo combinato a gas naturale.</t>
  </si>
  <si>
    <t>La DA fornisce i valori lordi. Presente un contributo termico. Obiettivi ambientali discretamente ambiziosi.</t>
  </si>
  <si>
    <t>I valori specifici sono stati forniti direttamente nella DA, concordano con i valori calcolati. Centrale termoelettrica a ciclo combinato a gas naturale. Obiettivi principalmente gestionali.</t>
  </si>
  <si>
    <t>La DA fornisce i valori netti. Presente un contributo termico. Obiettivi ambientali, per quanto non molto ambiziosi.</t>
  </si>
  <si>
    <t>I valori specifici sono stati forniti direttamente nella DA, concordano con i valori calcolati. Centrale termoelettrica e di cogenerazione: turbina a gas, generatore di vapore e turbina a vapore.</t>
  </si>
  <si>
    <t>Centrale a ciclo combinato cogenerativo a gas naturale. I valori specifici sono stati forniti nelle DA. Mancano i dati per le emissioni degli anni 2011 e 2014.</t>
  </si>
  <si>
    <t>La DA fornisce i valori lordi. Nessun contributo termico. Obiettivi gestionali.</t>
  </si>
  <si>
    <t>La DA fornisce i valori netti. Nessun contributo termico. Obiettivi gestionali.</t>
  </si>
  <si>
    <t>I valori specifici sono stati forniti direttamente nella DA, concordano parzialmente con i valori calcolati. Centrale termoelettrica a ciclo combinato a gas naturale.</t>
  </si>
  <si>
    <t>La DA fornisce i valori netti. Presente un contributo termico. Obiettivi principalmente gestionali.</t>
  </si>
  <si>
    <t>I valori specifici sono stati forniti direttamente nella DA, concordano abbastanza bene con i valori calcolati. Centrale termoelettrica e di cogenerazione a gas naturale.</t>
  </si>
  <si>
    <t>La DA fornisce i valori netti. Il contributo del vapore prodotto è stato conteggiato complessivamente nell'energia elettrica equivalente. Obiettivi ambientali.</t>
  </si>
  <si>
    <t>La DA fornisce i valori lordi per certi anni, mentre per altri i valori netti. Presente un contributo termico. Obiettivi principalmente gestionali.</t>
  </si>
  <si>
    <t>Centrale con impianto di cogenerazione a gas naturale più caldaia tradizionale. Non sono presenti i dati per le emissioni di CO per gli anni 2011, 2012 e 2013.</t>
  </si>
  <si>
    <t>La DA fornisce i valori netti. Presente un contributo termico costituito dalla generazione di vapore. Obiettivi principalmente gestionali.</t>
  </si>
  <si>
    <t>La DA fornisce i valori netti. Presente un contributo termico costituito dalla generazione di vapore. Obiettivi ambientali. Probabile sottostima della produzione per gli anni 2011-2013.</t>
  </si>
  <si>
    <t>La DA fornisce i valori netti. Nessun contributo termico. Mancano i dati riferiti al 2019. Obiettivi principalmente gestionali.</t>
  </si>
  <si>
    <t>La DA fornisce i valori lordi. Presente un contributo termico. Nel 2011 è stata ultimata la produzione della centrale, la quale ha iniziato la produzione solo nel 2012. Obiettivi ambientali, anche molto ambiziosi.</t>
  </si>
  <si>
    <t>La DA fornisce i valori di energia equivalente, sommando il contributo della generazione di vapore. Presente un contributo termico. Obiettivi ambientali ambiziosi.</t>
  </si>
  <si>
    <t>La DA fornisce i valori di energia equivalente, sommando il contributo della generazione di vapore. Presente un contributo termico. Obiettivi gestionali.</t>
  </si>
  <si>
    <t>Su un campione di 24 centrali</t>
  </si>
  <si>
    <t>Su un campione di 18 centrali</t>
  </si>
  <si>
    <t>Totale campione: 49 centrali.</t>
  </si>
  <si>
    <t>Su un campione di 17 centrali effettive</t>
  </si>
  <si>
    <t>Totale campione: 14 centrali.</t>
  </si>
  <si>
    <t>Su un campione di 3 centrali effettive</t>
  </si>
  <si>
    <t>La DA fornisce i valori netti. Presente un contributo termico, conteggiato complessivamente nel quantitativo di energia prodotta negli anni nei quali non compare espresso esplicitamente.  Obiettivi principalmente gestionali, in quanto la centrale ha subito una diminuzione media consistente della produzione.</t>
  </si>
  <si>
    <t>La DA fornisce i valori netti. Nessun contributo termico. Obiettivi principalmente gestionali. Mancano i valori per il 2011 e il 2012 perché la centrale non era ancora registrata.</t>
  </si>
  <si>
    <t>La DA fornisce i valori netti. Nessun contributo termico. Obiettivi ambientali ambiziosi.</t>
  </si>
  <si>
    <t>La DA fornisce i valori di energia equivalente, sommando il contributo della generazione di vapore. Presente un contributo termico. Obiettivi gestionali. L'impianto è entrato a regime nell'agosto del 2012. Non sono presenti dati per gli anni dal 2011 al 2012, la centrale ha conseguito la certificazione EMAS dal 2014 in poi. Obiettivi ambientali modesti.</t>
  </si>
  <si>
    <t>La DA fornisce i valori netti. Presente un contributo termico. Mancano i valori di produzione e di emissione per il 2011. Obiettivi principalmente gestionali.</t>
  </si>
  <si>
    <t>Totale campione effettivo: 48 centrali.</t>
  </si>
  <si>
    <t>La DA fornisce i valori netti. Nessun contributo termico. Mancano i valori della produzione per tutto il triennio 2011-2013 e per il 2016, ma sono presenti i valori delle emissioni specifiche, qui riportati. Obiettivi ambientali.</t>
  </si>
  <si>
    <t>Aggregazione dati campionari:</t>
  </si>
  <si>
    <t>Miglioramenti entro il 5% =</t>
  </si>
  <si>
    <t>Miglioramenti fra il 5% e il 10% =</t>
  </si>
  <si>
    <t>Miglioramenti fra il 10% e il 15% =</t>
  </si>
  <si>
    <t>Miglioramenti superiori al 15% =</t>
  </si>
  <si>
    <t>Peggioramenti entro il 5% =</t>
  </si>
  <si>
    <t>Peggioramenti fra il 5% e il 10% =</t>
  </si>
  <si>
    <t>Peggioramenti fra il 10% e il 15% =</t>
  </si>
  <si>
    <t>Peggioramenti superiori al 15% =</t>
  </si>
  <si>
    <t>Differenze fra le emissioni specifiche (NOx)</t>
  </si>
  <si>
    <t>Differenze fra le emissioni specifiche (CO)</t>
  </si>
  <si>
    <t>Differenze fra le emissioni specifiche (SOx)</t>
  </si>
  <si>
    <t>.</t>
  </si>
  <si>
    <t>La DA fornisce i valori netti. Presente un contributo termico. Mancano i dati riferiti al 2011. Obiettivi ambientali, anche piuttosto ambiziosi.</t>
  </si>
  <si>
    <t>Dati non rinvenuti nelle DA:</t>
  </si>
  <si>
    <t>Emissioni di CO per Centrale Fiume Santo</t>
  </si>
  <si>
    <t>Alcuni valori di produzione e di emissione della CO per la Centrale di Teverola</t>
  </si>
  <si>
    <t>Totale emissioni massiche nei nove anni (t di NOx)</t>
  </si>
  <si>
    <t>Totale emissioni massiche nei nove anni (t di CO)</t>
  </si>
  <si>
    <t>Totale emissioni massiche nei nove anni (t di SOx)</t>
  </si>
  <si>
    <t>Emissioni specifiche medie rapportate ai nove anni (t/GWhe di NOx)</t>
  </si>
  <si>
    <t>Emissioni specifiche medie rapportate ai nove anni (t/GWhe di CO)</t>
  </si>
  <si>
    <t>Emissioni specifiche medie rapportate ai nove anni (t/GWhe di SOx)</t>
  </si>
  <si>
    <r>
      <t>Nota bene: l'indicatore usato per il confronto dei valori di emissione è quello della CO</t>
    </r>
    <r>
      <rPr>
        <vertAlign val="subscript"/>
        <sz val="12"/>
        <color theme="1"/>
        <rFont val="Times New Roman"/>
        <family val="1"/>
      </rPr>
      <t>2</t>
    </r>
    <r>
      <rPr>
        <sz val="12"/>
        <color theme="1"/>
        <rFont val="Times New Roman"/>
        <family val="1"/>
      </rPr>
      <t xml:space="preserve"> normalizzata rispetto alla produzione di energia elettrica: t/GWh (equivalente a g/kWh e a kg/MWh). In questo modo è possibile effettuare confronti fra qualsiasi impianto, indipendentemente dalla grandezza degli stessi.</t>
    </r>
  </si>
  <si>
    <r>
      <t>Emissioni di CO</t>
    </r>
    <r>
      <rPr>
        <vertAlign val="subscript"/>
        <sz val="12"/>
        <rFont val="Times New Roman"/>
        <family val="1"/>
      </rPr>
      <t>2</t>
    </r>
    <r>
      <rPr>
        <sz val="12"/>
        <rFont val="Times New Roman"/>
        <family val="1"/>
      </rPr>
      <t xml:space="preserve"> eq (t) (2011)</t>
    </r>
  </si>
  <si>
    <r>
      <t>Emissioni di CO</t>
    </r>
    <r>
      <rPr>
        <vertAlign val="subscript"/>
        <sz val="12"/>
        <rFont val="Times New Roman"/>
        <family val="1"/>
      </rPr>
      <t>2</t>
    </r>
    <r>
      <rPr>
        <sz val="12"/>
        <rFont val="Times New Roman"/>
        <family val="1"/>
      </rPr>
      <t xml:space="preserve"> eq (t) (2012)</t>
    </r>
  </si>
  <si>
    <r>
      <t>Emissioni di CO</t>
    </r>
    <r>
      <rPr>
        <vertAlign val="subscript"/>
        <sz val="12"/>
        <rFont val="Times New Roman"/>
        <family val="1"/>
      </rPr>
      <t>2</t>
    </r>
    <r>
      <rPr>
        <sz val="12"/>
        <rFont val="Times New Roman"/>
        <family val="1"/>
      </rPr>
      <t xml:space="preserve"> eq (t) (2013)</t>
    </r>
  </si>
  <si>
    <r>
      <t>Emissioni di CO</t>
    </r>
    <r>
      <rPr>
        <vertAlign val="subscript"/>
        <sz val="12"/>
        <rFont val="Times New Roman"/>
        <family val="1"/>
      </rPr>
      <t>2</t>
    </r>
    <r>
      <rPr>
        <sz val="12"/>
        <rFont val="Times New Roman"/>
        <family val="1"/>
      </rPr>
      <t xml:space="preserve"> eq (t) (2014)</t>
    </r>
  </si>
  <si>
    <r>
      <t>Emissioni di CO</t>
    </r>
    <r>
      <rPr>
        <vertAlign val="subscript"/>
        <sz val="12"/>
        <rFont val="Times New Roman"/>
        <family val="1"/>
      </rPr>
      <t>2</t>
    </r>
    <r>
      <rPr>
        <sz val="12"/>
        <rFont val="Times New Roman"/>
        <family val="1"/>
      </rPr>
      <t xml:space="preserve"> eq (t) (2015)</t>
    </r>
  </si>
  <si>
    <r>
      <t>Emissioni di CO</t>
    </r>
    <r>
      <rPr>
        <vertAlign val="subscript"/>
        <sz val="12"/>
        <rFont val="Times New Roman"/>
        <family val="1"/>
      </rPr>
      <t>2</t>
    </r>
    <r>
      <rPr>
        <sz val="12"/>
        <rFont val="Times New Roman"/>
        <family val="1"/>
      </rPr>
      <t xml:space="preserve"> eq (t) (2016)</t>
    </r>
  </si>
  <si>
    <r>
      <t>Emissioni di CO</t>
    </r>
    <r>
      <rPr>
        <vertAlign val="subscript"/>
        <sz val="12"/>
        <rFont val="Times New Roman"/>
        <family val="1"/>
      </rPr>
      <t xml:space="preserve">2 </t>
    </r>
    <r>
      <rPr>
        <sz val="12"/>
        <rFont val="Times New Roman"/>
        <family val="1"/>
      </rPr>
      <t>eq (t) (2017)</t>
    </r>
  </si>
  <si>
    <r>
      <t>Emissioni di CO</t>
    </r>
    <r>
      <rPr>
        <vertAlign val="subscript"/>
        <sz val="12"/>
        <rFont val="Times New Roman"/>
        <family val="1"/>
      </rPr>
      <t xml:space="preserve">2 </t>
    </r>
    <r>
      <rPr>
        <sz val="12"/>
        <rFont val="Times New Roman"/>
        <family val="1"/>
      </rPr>
      <t>eq (t) (2018)</t>
    </r>
  </si>
  <si>
    <r>
      <t>Emissioni di CO</t>
    </r>
    <r>
      <rPr>
        <vertAlign val="subscript"/>
        <sz val="12"/>
        <rFont val="Times New Roman"/>
        <family val="1"/>
      </rPr>
      <t xml:space="preserve">2 </t>
    </r>
    <r>
      <rPr>
        <sz val="12"/>
        <rFont val="Times New Roman"/>
        <family val="1"/>
      </rPr>
      <t>eq (t) (2019)</t>
    </r>
  </si>
  <si>
    <r>
      <t>Emissioni specifiche di CO</t>
    </r>
    <r>
      <rPr>
        <vertAlign val="subscript"/>
        <sz val="12"/>
        <rFont val="Times New Roman"/>
        <family val="1"/>
      </rPr>
      <t>2</t>
    </r>
    <r>
      <rPr>
        <sz val="12"/>
        <rFont val="Times New Roman"/>
        <family val="1"/>
      </rPr>
      <t xml:space="preserve"> (t/GWhe) (2011)</t>
    </r>
  </si>
  <si>
    <r>
      <t>Emissioni specifiche di CO</t>
    </r>
    <r>
      <rPr>
        <vertAlign val="subscript"/>
        <sz val="12"/>
        <rFont val="Times New Roman"/>
        <family val="1"/>
      </rPr>
      <t>2</t>
    </r>
    <r>
      <rPr>
        <sz val="12"/>
        <rFont val="Times New Roman"/>
        <family val="1"/>
      </rPr>
      <t xml:space="preserve"> (t/GWhe) (2012)</t>
    </r>
  </si>
  <si>
    <r>
      <t>Emissioni specifiche di CO</t>
    </r>
    <r>
      <rPr>
        <vertAlign val="subscript"/>
        <sz val="12"/>
        <rFont val="Times New Roman"/>
        <family val="1"/>
      </rPr>
      <t>2</t>
    </r>
    <r>
      <rPr>
        <sz val="12"/>
        <rFont val="Times New Roman"/>
        <family val="1"/>
      </rPr>
      <t xml:space="preserve"> (t/GWhe) (2013)</t>
    </r>
  </si>
  <si>
    <r>
      <t>Emissioni specifiche di CO</t>
    </r>
    <r>
      <rPr>
        <vertAlign val="subscript"/>
        <sz val="12"/>
        <rFont val="Times New Roman"/>
        <family val="1"/>
      </rPr>
      <t>2</t>
    </r>
    <r>
      <rPr>
        <sz val="12"/>
        <rFont val="Times New Roman"/>
        <family val="1"/>
      </rPr>
      <t xml:space="preserve"> (t/GWhe) (2014)</t>
    </r>
  </si>
  <si>
    <r>
      <t>Emissioni specifiche di CO</t>
    </r>
    <r>
      <rPr>
        <vertAlign val="subscript"/>
        <sz val="12"/>
        <rFont val="Times New Roman"/>
        <family val="1"/>
      </rPr>
      <t>2</t>
    </r>
    <r>
      <rPr>
        <sz val="12"/>
        <rFont val="Times New Roman"/>
        <family val="1"/>
      </rPr>
      <t xml:space="preserve"> (t/GWhe) (2015)</t>
    </r>
  </si>
  <si>
    <r>
      <t>Emissioni specifiche di CO</t>
    </r>
    <r>
      <rPr>
        <vertAlign val="subscript"/>
        <sz val="12"/>
        <rFont val="Times New Roman"/>
        <family val="1"/>
      </rPr>
      <t>2</t>
    </r>
    <r>
      <rPr>
        <sz val="12"/>
        <rFont val="Times New Roman"/>
        <family val="1"/>
      </rPr>
      <t xml:space="preserve"> (t/GWhe) (2016)</t>
    </r>
  </si>
  <si>
    <r>
      <t>Emissioni specifiche di CO</t>
    </r>
    <r>
      <rPr>
        <vertAlign val="subscript"/>
        <sz val="12"/>
        <rFont val="Times New Roman"/>
        <family val="1"/>
      </rPr>
      <t>2</t>
    </r>
    <r>
      <rPr>
        <sz val="12"/>
        <rFont val="Times New Roman"/>
        <family val="1"/>
      </rPr>
      <t xml:space="preserve"> (t/GWhe) (2017)</t>
    </r>
  </si>
  <si>
    <r>
      <t>Emissioni specifiche di CO</t>
    </r>
    <r>
      <rPr>
        <vertAlign val="subscript"/>
        <sz val="12"/>
        <rFont val="Times New Roman"/>
        <family val="1"/>
      </rPr>
      <t>2</t>
    </r>
    <r>
      <rPr>
        <sz val="12"/>
        <rFont val="Times New Roman"/>
        <family val="1"/>
      </rPr>
      <t xml:space="preserve"> (t/GWhe) (2018)</t>
    </r>
  </si>
  <si>
    <r>
      <t>Emissioni specifiche di CO</t>
    </r>
    <r>
      <rPr>
        <vertAlign val="subscript"/>
        <sz val="12"/>
        <rFont val="Times New Roman"/>
        <family val="1"/>
      </rPr>
      <t>2</t>
    </r>
    <r>
      <rPr>
        <sz val="12"/>
        <rFont val="Times New Roman"/>
        <family val="1"/>
      </rPr>
      <t xml:space="preserve"> (t/GWhe) (2019)</t>
    </r>
  </si>
  <si>
    <r>
      <t>Totale emissioni massiche nei nove anni (t di CO</t>
    </r>
    <r>
      <rPr>
        <vertAlign val="subscript"/>
        <sz val="12"/>
        <rFont val="Times New Roman"/>
        <family val="1"/>
      </rPr>
      <t>2</t>
    </r>
    <r>
      <rPr>
        <sz val="12"/>
        <rFont val="Times New Roman"/>
        <family val="1"/>
      </rPr>
      <t>)</t>
    </r>
  </si>
  <si>
    <r>
      <t>Emissioni specifiche medie rapportate ai nove anni (t/GWhe di CO</t>
    </r>
    <r>
      <rPr>
        <vertAlign val="subscript"/>
        <sz val="12"/>
        <rFont val="Times New Roman"/>
        <family val="1"/>
      </rPr>
      <t>2</t>
    </r>
    <r>
      <rPr>
        <sz val="12"/>
        <rFont val="Times New Roman"/>
        <family val="1"/>
      </rPr>
      <t>)</t>
    </r>
  </si>
  <si>
    <r>
      <t>Differenze fra le emissioni specifiche (CO</t>
    </r>
    <r>
      <rPr>
        <vertAlign val="subscript"/>
        <sz val="12"/>
        <rFont val="Times New Roman"/>
        <family val="1"/>
      </rPr>
      <t>2</t>
    </r>
    <r>
      <rPr>
        <sz val="12"/>
        <rFont val="Times New Roman"/>
        <family val="1"/>
      </rPr>
      <t>)</t>
    </r>
  </si>
  <si>
    <r>
      <t>Andamenti generali CO</t>
    </r>
    <r>
      <rPr>
        <vertAlign val="subscript"/>
        <sz val="12"/>
        <color theme="1"/>
        <rFont val="Times New Roman"/>
        <family val="1"/>
      </rPr>
      <t>2</t>
    </r>
    <r>
      <rPr>
        <sz val="12"/>
        <color theme="1"/>
        <rFont val="Times New Roman"/>
        <family val="1"/>
      </rPr>
      <t xml:space="preserve"> =</t>
    </r>
  </si>
  <si>
    <t>Emissioni specifiche medie:</t>
  </si>
  <si>
    <t>Incremento emissioni specifiche</t>
  </si>
  <si>
    <t>Diminuzione emissioni specifiche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</si>
</sst>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00"/>
    <numFmt numFmtId="165" formatCode="#,##0.0"/>
    <numFmt numFmtId="166" formatCode="0.000%"/>
    <numFmt numFmtId="167" formatCode="#,##0.00000"/>
    <numFmt numFmtId="168" formatCode="#,##0.000000"/>
    <numFmt numFmtId="169" formatCode="0.0000"/>
    <numFmt numFmtId="170" formatCode="0.0000%"/>
    <numFmt numFmtId="171" formatCode="0.000"/>
    <numFmt numFmtId="172" formatCode="#,##0.0000000000"/>
    <numFmt numFmtId="173" formatCode="#,##0.0000000"/>
  </numFmts>
  <fonts count="14" x14ac:knownFonts="1">
    <font>
      <sz val="11"/>
      <color theme="1"/>
      <name val="Calibri"/>
      <family val="2"/>
      <scheme val="minor"/>
    </font>
    <font>
      <sz val="12"/>
      <color theme="1"/>
      <name val="Arial"/>
      <family val="2"/>
    </font>
    <font>
      <sz val="12"/>
      <name val="Arial"/>
      <family val="2"/>
    </font>
    <font>
      <vertAlign val="subscript"/>
      <sz val="12"/>
      <color theme="1"/>
      <name val="Arial"/>
      <family val="2"/>
    </font>
    <font>
      <sz val="11"/>
      <color theme="1"/>
      <name val="Calibri"/>
      <family val="2"/>
      <scheme val="minor"/>
    </font>
    <font>
      <b/>
      <sz val="9"/>
      <color indexed="81"/>
      <name val="Tahoma"/>
      <family val="2"/>
    </font>
    <font>
      <sz val="9"/>
      <color indexed="81"/>
      <name val="Tahoma"/>
      <family val="2"/>
    </font>
    <font>
      <b/>
      <sz val="12"/>
      <name val="Arial"/>
      <family val="2"/>
    </font>
    <font>
      <b/>
      <sz val="12"/>
      <color theme="1"/>
      <name val="Arial"/>
      <family val="2"/>
    </font>
    <font>
      <sz val="12"/>
      <color theme="1"/>
      <name val="Times New Roman"/>
      <family val="1"/>
    </font>
    <font>
      <sz val="12"/>
      <color rgb="FF000000"/>
      <name val="Times New Roman"/>
      <family val="1"/>
    </font>
    <font>
      <vertAlign val="subscript"/>
      <sz val="12"/>
      <color theme="1"/>
      <name val="Times New Roman"/>
      <family val="1"/>
    </font>
    <font>
      <sz val="12"/>
      <name val="Times New Roman"/>
      <family val="1"/>
    </font>
    <font>
      <vertAlign val="subscript"/>
      <sz val="12"/>
      <name val="Times New Roman"/>
      <family val="1"/>
    </font>
  </fonts>
  <fills count="28">
    <fill>
      <patternFill patternType="none"/>
    </fill>
    <fill>
      <patternFill patternType="gray125"/>
    </fill>
    <fill>
      <patternFill patternType="solid">
        <fgColor indexed="13"/>
        <bgColor indexed="34"/>
      </patternFill>
    </fill>
    <fill>
      <patternFill patternType="solid">
        <fgColor theme="0"/>
        <bgColor indexed="21"/>
      </patternFill>
    </fill>
    <fill>
      <patternFill patternType="solid">
        <fgColor indexed="9"/>
        <bgColor indexed="26"/>
      </patternFill>
    </fill>
    <fill>
      <patternFill patternType="solid">
        <fgColor rgb="FFFFC000"/>
        <bgColor indexed="34"/>
      </patternFill>
    </fill>
    <fill>
      <patternFill patternType="solid">
        <fgColor rgb="FFFFC000"/>
        <bgColor indexed="26"/>
      </patternFill>
    </fill>
    <fill>
      <patternFill patternType="solid">
        <fgColor rgb="FFFF0000"/>
        <bgColor indexed="26"/>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FF00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rgb="FFFFFF00"/>
        <bgColor indexed="26"/>
      </patternFill>
    </fill>
    <fill>
      <patternFill patternType="solid">
        <fgColor rgb="FFFFFF00"/>
        <bgColor indexed="21"/>
      </patternFill>
    </fill>
    <fill>
      <patternFill patternType="solid">
        <fgColor rgb="FFFFFF00"/>
        <bgColor indexed="3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rgb="FFFF6969"/>
        <bgColor indexed="64"/>
      </patternFill>
    </fill>
    <fill>
      <patternFill patternType="solid">
        <fgColor rgb="FFFF4747"/>
        <bgColor indexed="64"/>
      </patternFill>
    </fill>
    <fill>
      <patternFill patternType="solid">
        <fgColor rgb="FFFF2929"/>
        <bgColor indexed="64"/>
      </patternFill>
    </fill>
    <fill>
      <patternFill patternType="solid">
        <fgColor rgb="FFDA0000"/>
        <bgColor indexed="64"/>
      </patternFill>
    </fill>
    <fill>
      <patternFill patternType="solid">
        <fgColor rgb="FFFF535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4" fillId="0" borderId="0" applyFont="0" applyFill="0" applyBorder="0" applyAlignment="0" applyProtection="0"/>
  </cellStyleXfs>
  <cellXfs count="162">
    <xf numFmtId="0" fontId="0" fillId="0" borderId="0" xfId="0"/>
    <xf numFmtId="0" fontId="1" fillId="0" borderId="0" xfId="0" applyFont="1"/>
    <xf numFmtId="0" fontId="1" fillId="3" borderId="1" xfId="0" applyFont="1" applyFill="1" applyBorder="1"/>
    <xf numFmtId="0" fontId="1" fillId="3" borderId="1" xfId="0" applyFont="1" applyFill="1" applyBorder="1" applyAlignment="1">
      <alignment vertical="center"/>
    </xf>
    <xf numFmtId="0" fontId="1" fillId="0" borderId="1" xfId="0" applyFont="1" applyFill="1" applyBorder="1"/>
    <xf numFmtId="0" fontId="1" fillId="0" borderId="0" xfId="0" applyFont="1" applyAlignment="1"/>
    <xf numFmtId="0" fontId="1" fillId="0" borderId="0" xfId="0" applyFont="1" applyAlignment="1">
      <alignment wrapText="1"/>
    </xf>
    <xf numFmtId="10" fontId="1" fillId="0" borderId="0" xfId="0" applyNumberFormat="1" applyFont="1"/>
    <xf numFmtId="0" fontId="1" fillId="0" borderId="1" xfId="0" applyFont="1" applyBorder="1"/>
    <xf numFmtId="0" fontId="1" fillId="4" borderId="1" xfId="0" applyFont="1" applyFill="1" applyBorder="1"/>
    <xf numFmtId="0" fontId="1" fillId="2" borderId="1" xfId="0" applyFont="1" applyFill="1" applyBorder="1"/>
    <xf numFmtId="0" fontId="1" fillId="3" borderId="1" xfId="0" applyFont="1" applyFill="1" applyBorder="1" applyAlignment="1">
      <alignment horizontal="right"/>
    </xf>
    <xf numFmtId="0" fontId="1" fillId="0" borderId="1" xfId="0" applyFont="1" applyBorder="1" applyAlignment="1">
      <alignment horizontal="right"/>
    </xf>
    <xf numFmtId="0" fontId="1" fillId="3" borderId="1" xfId="0" applyFont="1" applyFill="1" applyBorder="1" applyAlignment="1">
      <alignment horizontal="right" vertical="center"/>
    </xf>
    <xf numFmtId="0" fontId="1" fillId="4" borderId="1" xfId="0" applyFont="1" applyFill="1" applyBorder="1" applyAlignment="1">
      <alignment horizontal="right"/>
    </xf>
    <xf numFmtId="0" fontId="1" fillId="2" borderId="1" xfId="0" applyFont="1" applyFill="1" applyBorder="1" applyAlignment="1">
      <alignment horizontal="right"/>
    </xf>
    <xf numFmtId="0" fontId="1" fillId="16" borderId="1" xfId="0" applyFont="1" applyFill="1" applyBorder="1" applyAlignment="1">
      <alignment horizontal="right"/>
    </xf>
    <xf numFmtId="167" fontId="1" fillId="0" borderId="1" xfId="0" applyNumberFormat="1" applyFont="1" applyBorder="1"/>
    <xf numFmtId="167" fontId="1" fillId="0" borderId="1" xfId="1" applyNumberFormat="1" applyFont="1" applyBorder="1"/>
    <xf numFmtId="0" fontId="1" fillId="5" borderId="1" xfId="0" applyFont="1" applyFill="1" applyBorder="1"/>
    <xf numFmtId="0" fontId="1" fillId="6" borderId="1" xfId="0" applyFont="1" applyFill="1" applyBorder="1"/>
    <xf numFmtId="0" fontId="1" fillId="7" borderId="1" xfId="0" applyFont="1" applyFill="1" applyBorder="1"/>
    <xf numFmtId="0" fontId="7" fillId="12" borderId="1" xfId="0" applyFont="1" applyFill="1" applyBorder="1" applyAlignment="1">
      <alignment horizontal="center"/>
    </xf>
    <xf numFmtId="0" fontId="1" fillId="2" borderId="1" xfId="0" applyFont="1" applyFill="1" applyBorder="1" applyAlignment="1">
      <alignment horizontal="center"/>
    </xf>
    <xf numFmtId="0" fontId="7" fillId="2" borderId="1" xfId="0" applyFont="1" applyFill="1" applyBorder="1" applyAlignment="1">
      <alignment horizontal="center"/>
    </xf>
    <xf numFmtId="0" fontId="7" fillId="13" borderId="1" xfId="0" applyFont="1" applyFill="1" applyBorder="1" applyAlignment="1">
      <alignment horizontal="center"/>
    </xf>
    <xf numFmtId="0" fontId="7" fillId="14" borderId="1" xfId="0" applyFont="1" applyFill="1" applyBorder="1" applyAlignment="1">
      <alignment horizontal="center"/>
    </xf>
    <xf numFmtId="0" fontId="7" fillId="15" borderId="1" xfId="0" applyFont="1" applyFill="1" applyBorder="1" applyAlignment="1">
      <alignment horizontal="center"/>
    </xf>
    <xf numFmtId="0" fontId="8" fillId="8" borderId="1" xfId="0" applyFont="1" applyFill="1" applyBorder="1" applyAlignment="1">
      <alignment horizontal="center"/>
    </xf>
    <xf numFmtId="0" fontId="1" fillId="0" borderId="0" xfId="0" applyFont="1" applyAlignment="1">
      <alignment horizontal="center"/>
    </xf>
    <xf numFmtId="166" fontId="1" fillId="0" borderId="1" xfId="0" applyNumberFormat="1" applyFont="1" applyBorder="1"/>
    <xf numFmtId="167" fontId="1" fillId="0" borderId="1" xfId="0" applyNumberFormat="1" applyFont="1" applyBorder="1" applyAlignment="1">
      <alignment horizontal="right"/>
    </xf>
    <xf numFmtId="167" fontId="2" fillId="3" borderId="1" xfId="0" applyNumberFormat="1" applyFont="1" applyFill="1" applyBorder="1" applyAlignment="1">
      <alignment horizontal="center"/>
    </xf>
    <xf numFmtId="165" fontId="1" fillId="0" borderId="1" xfId="0" applyNumberFormat="1" applyFont="1" applyBorder="1"/>
    <xf numFmtId="167" fontId="2" fillId="0" borderId="1" xfId="0" applyNumberFormat="1" applyFont="1" applyFill="1" applyBorder="1" applyAlignment="1"/>
    <xf numFmtId="167" fontId="2" fillId="0" borderId="1" xfId="1" applyNumberFormat="1" applyFont="1" applyFill="1" applyBorder="1"/>
    <xf numFmtId="167" fontId="2" fillId="0" borderId="1" xfId="1" applyNumberFormat="1" applyFont="1" applyBorder="1"/>
    <xf numFmtId="171" fontId="1" fillId="0" borderId="1" xfId="0" applyNumberFormat="1" applyFont="1" applyBorder="1"/>
    <xf numFmtId="0" fontId="1" fillId="17" borderId="1" xfId="0" applyFont="1" applyFill="1" applyBorder="1"/>
    <xf numFmtId="166" fontId="1" fillId="8" borderId="1" xfId="0" applyNumberFormat="1" applyFont="1" applyFill="1" applyBorder="1"/>
    <xf numFmtId="171" fontId="1" fillId="8" borderId="1" xfId="0" applyNumberFormat="1" applyFont="1" applyFill="1" applyBorder="1"/>
    <xf numFmtId="0" fontId="7" fillId="12" borderId="1" xfId="0" applyFont="1" applyFill="1" applyBorder="1" applyAlignment="1">
      <alignment horizontal="center"/>
    </xf>
    <xf numFmtId="0" fontId="7" fillId="13" borderId="1" xfId="0" applyFont="1" applyFill="1" applyBorder="1" applyAlignment="1">
      <alignment horizontal="center"/>
    </xf>
    <xf numFmtId="0" fontId="7" fillId="14" borderId="1" xfId="0" applyFont="1" applyFill="1" applyBorder="1" applyAlignment="1">
      <alignment horizontal="center"/>
    </xf>
    <xf numFmtId="0" fontId="7" fillId="15" borderId="1" xfId="0" applyFont="1" applyFill="1" applyBorder="1" applyAlignment="1">
      <alignment horizontal="center"/>
    </xf>
    <xf numFmtId="0" fontId="1" fillId="8" borderId="0" xfId="0" applyFont="1" applyFill="1" applyAlignment="1">
      <alignment vertical="center" wrapText="1"/>
    </xf>
    <xf numFmtId="165" fontId="1" fillId="0" borderId="1" xfId="0" applyNumberFormat="1" applyFont="1" applyFill="1" applyBorder="1"/>
    <xf numFmtId="168" fontId="1" fillId="0" borderId="1" xfId="0" applyNumberFormat="1" applyFont="1" applyBorder="1"/>
    <xf numFmtId="0" fontId="9" fillId="0" borderId="0" xfId="0" applyFont="1"/>
    <xf numFmtId="0" fontId="9" fillId="8" borderId="1" xfId="0" applyFont="1" applyFill="1" applyBorder="1" applyAlignment="1">
      <alignment horizontal="center" vertical="center" wrapText="1"/>
    </xf>
    <xf numFmtId="0" fontId="10" fillId="9" borderId="1" xfId="0" applyFont="1" applyFill="1" applyBorder="1"/>
    <xf numFmtId="49" fontId="9" fillId="2" borderId="1" xfId="0" applyNumberFormat="1" applyFont="1" applyFill="1" applyBorder="1" applyAlignment="1">
      <alignment horizontal="center" vertical="center" wrapText="1"/>
    </xf>
    <xf numFmtId="49" fontId="12" fillId="2" borderId="1" xfId="0" applyNumberFormat="1" applyFont="1" applyFill="1" applyBorder="1" applyAlignment="1">
      <alignment horizontal="center" vertical="center" wrapText="1"/>
    </xf>
    <xf numFmtId="49" fontId="9" fillId="8" borderId="1" xfId="0" applyNumberFormat="1" applyFont="1" applyFill="1" applyBorder="1" applyAlignment="1">
      <alignment horizontal="center" vertical="center" wrapText="1"/>
    </xf>
    <xf numFmtId="49" fontId="12" fillId="18" borderId="1" xfId="0" applyNumberFormat="1" applyFont="1" applyFill="1" applyBorder="1" applyAlignment="1">
      <alignment horizontal="center" vertical="center" wrapText="1"/>
    </xf>
    <xf numFmtId="49" fontId="9" fillId="8" borderId="4" xfId="0" applyNumberFormat="1" applyFont="1" applyFill="1" applyBorder="1" applyAlignment="1">
      <alignment horizontal="center" vertical="center" wrapText="1"/>
    </xf>
    <xf numFmtId="0" fontId="9" fillId="8" borderId="1" xfId="0" applyFont="1" applyFill="1" applyBorder="1" applyAlignment="1">
      <alignment vertical="center"/>
    </xf>
    <xf numFmtId="49" fontId="12" fillId="2" borderId="1" xfId="0" applyNumberFormat="1" applyFont="1" applyFill="1" applyBorder="1" applyAlignment="1">
      <alignment horizontal="center" vertical="center"/>
    </xf>
    <xf numFmtId="49" fontId="9" fillId="0" borderId="0" xfId="0" applyNumberFormat="1" applyFont="1" applyAlignment="1">
      <alignment vertical="center"/>
    </xf>
    <xf numFmtId="0" fontId="9" fillId="0" borderId="3" xfId="0" applyFont="1" applyFill="1" applyBorder="1"/>
    <xf numFmtId="0" fontId="9" fillId="3" borderId="3" xfId="0" applyFont="1" applyFill="1" applyBorder="1"/>
    <xf numFmtId="165" fontId="9" fillId="0" borderId="0" xfId="0" applyNumberFormat="1" applyFont="1"/>
    <xf numFmtId="164" fontId="9" fillId="0" borderId="0" xfId="0" applyNumberFormat="1" applyFont="1"/>
    <xf numFmtId="164" fontId="9" fillId="0" borderId="0" xfId="0" applyNumberFormat="1" applyFont="1" applyFill="1" applyBorder="1"/>
    <xf numFmtId="0" fontId="9" fillId="0" borderId="0" xfId="0" applyFont="1" applyAlignment="1">
      <alignment wrapText="1"/>
    </xf>
    <xf numFmtId="4" fontId="9" fillId="0" borderId="0" xfId="0" applyNumberFormat="1" applyFont="1"/>
    <xf numFmtId="4" fontId="9" fillId="0" borderId="1" xfId="0" applyNumberFormat="1" applyFont="1" applyBorder="1"/>
    <xf numFmtId="4" fontId="9" fillId="0" borderId="3" xfId="0" applyNumberFormat="1" applyFont="1" applyBorder="1"/>
    <xf numFmtId="4" fontId="9" fillId="0" borderId="0" xfId="0" applyNumberFormat="1" applyFont="1" applyBorder="1"/>
    <xf numFmtId="10" fontId="9" fillId="0" borderId="0" xfId="0" applyNumberFormat="1" applyFont="1" applyBorder="1"/>
    <xf numFmtId="166" fontId="9" fillId="0" borderId="0" xfId="0" applyNumberFormat="1" applyFont="1" applyBorder="1"/>
    <xf numFmtId="0" fontId="9" fillId="0" borderId="1" xfId="0" applyFont="1" applyBorder="1" applyAlignment="1">
      <alignment wrapText="1"/>
    </xf>
    <xf numFmtId="0" fontId="9" fillId="0" borderId="1" xfId="0" applyFont="1" applyBorder="1"/>
    <xf numFmtId="167" fontId="9" fillId="0" borderId="0" xfId="0" applyNumberFormat="1" applyFont="1"/>
    <xf numFmtId="167" fontId="9" fillId="0" borderId="0" xfId="0" applyNumberFormat="1" applyFont="1" applyBorder="1"/>
    <xf numFmtId="164" fontId="9" fillId="0" borderId="0" xfId="0" applyNumberFormat="1" applyFont="1" applyBorder="1"/>
    <xf numFmtId="168" fontId="9" fillId="0" borderId="0" xfId="0" applyNumberFormat="1" applyFont="1"/>
    <xf numFmtId="0" fontId="9" fillId="0" borderId="1" xfId="0" applyFont="1" applyFill="1" applyBorder="1"/>
    <xf numFmtId="0" fontId="9" fillId="3" borderId="1" xfId="0" applyFont="1" applyFill="1" applyBorder="1"/>
    <xf numFmtId="4" fontId="9" fillId="0" borderId="0" xfId="0" applyNumberFormat="1" applyFont="1" applyAlignment="1"/>
    <xf numFmtId="173" fontId="9" fillId="0" borderId="0" xfId="0" applyNumberFormat="1" applyFont="1" applyBorder="1"/>
    <xf numFmtId="4" fontId="9" fillId="0" borderId="0" xfId="0" applyNumberFormat="1" applyFont="1" applyFill="1" applyBorder="1"/>
    <xf numFmtId="0" fontId="9" fillId="3" borderId="1" xfId="0" applyFont="1" applyFill="1" applyBorder="1" applyAlignment="1">
      <alignment vertical="center"/>
    </xf>
    <xf numFmtId="4" fontId="9" fillId="0" borderId="0" xfId="0" applyNumberFormat="1" applyFont="1" applyAlignment="1">
      <alignment wrapText="1"/>
    </xf>
    <xf numFmtId="0" fontId="9" fillId="3" borderId="1" xfId="0" applyFont="1" applyFill="1" applyBorder="1" applyAlignment="1">
      <alignment wrapText="1"/>
    </xf>
    <xf numFmtId="0" fontId="9" fillId="3" borderId="1" xfId="0" applyFont="1" applyFill="1" applyBorder="1" applyAlignment="1">
      <alignment vertical="center" wrapText="1"/>
    </xf>
    <xf numFmtId="0" fontId="9" fillId="10" borderId="1" xfId="0" applyFont="1" applyFill="1" applyBorder="1" applyAlignment="1">
      <alignment vertical="center" wrapText="1"/>
    </xf>
    <xf numFmtId="172" fontId="9" fillId="0" borderId="0" xfId="0" applyNumberFormat="1" applyFont="1"/>
    <xf numFmtId="0" fontId="9" fillId="4" borderId="2" xfId="0" applyFont="1" applyFill="1" applyBorder="1"/>
    <xf numFmtId="0" fontId="9" fillId="0" borderId="2" xfId="0" applyFont="1" applyBorder="1"/>
    <xf numFmtId="0" fontId="9" fillId="0" borderId="1" xfId="0" applyFont="1" applyBorder="1" applyAlignment="1">
      <alignment horizontal="left" wrapText="1"/>
    </xf>
    <xf numFmtId="0" fontId="9" fillId="4" borderId="1" xfId="0" applyFont="1" applyFill="1" applyBorder="1" applyAlignment="1">
      <alignment horizontal="left" wrapText="1"/>
    </xf>
    <xf numFmtId="0" fontId="9" fillId="0" borderId="2" xfId="0" applyFont="1" applyFill="1" applyBorder="1"/>
    <xf numFmtId="0" fontId="9" fillId="0" borderId="0" xfId="0" applyFont="1" applyFill="1"/>
    <xf numFmtId="0" fontId="9" fillId="6" borderId="2" xfId="0" applyFont="1" applyFill="1" applyBorder="1"/>
    <xf numFmtId="0" fontId="9" fillId="4" borderId="1" xfId="0" applyFont="1" applyFill="1" applyBorder="1" applyAlignment="1">
      <alignment wrapText="1"/>
    </xf>
    <xf numFmtId="167" fontId="9" fillId="0" borderId="0" xfId="0" applyNumberFormat="1" applyFont="1" applyBorder="1" applyAlignment="1">
      <alignment wrapText="1"/>
    </xf>
    <xf numFmtId="0" fontId="12" fillId="0" borderId="1" xfId="0" applyFont="1" applyBorder="1" applyAlignment="1">
      <alignment wrapText="1"/>
    </xf>
    <xf numFmtId="0" fontId="9" fillId="7" borderId="2" xfId="0" applyFont="1" applyFill="1" applyBorder="1"/>
    <xf numFmtId="0" fontId="9" fillId="0" borderId="0" xfId="0" applyFont="1" applyFill="1" applyAlignment="1">
      <alignment wrapText="1"/>
    </xf>
    <xf numFmtId="0" fontId="9" fillId="0" borderId="0" xfId="0" applyFont="1" applyAlignment="1">
      <alignment horizontal="right" vertical="center"/>
    </xf>
    <xf numFmtId="0" fontId="9" fillId="11" borderId="0" xfId="0" applyFont="1" applyFill="1"/>
    <xf numFmtId="10" fontId="9" fillId="0" borderId="0" xfId="0" applyNumberFormat="1" applyFont="1"/>
    <xf numFmtId="10" fontId="9" fillId="9" borderId="0" xfId="0" applyNumberFormat="1" applyFont="1" applyFill="1"/>
    <xf numFmtId="0" fontId="9" fillId="9" borderId="0" xfId="0" applyFont="1" applyFill="1"/>
    <xf numFmtId="0" fontId="9" fillId="8" borderId="0" xfId="0" applyFont="1" applyFill="1" applyAlignment="1">
      <alignment horizontal="right" vertical="center"/>
    </xf>
    <xf numFmtId="0" fontId="9" fillId="8" borderId="1" xfId="0" applyFont="1" applyFill="1" applyBorder="1"/>
    <xf numFmtId="169" fontId="9" fillId="0" borderId="1" xfId="0" applyNumberFormat="1" applyFont="1" applyBorder="1"/>
    <xf numFmtId="10" fontId="9" fillId="8" borderId="0" xfId="0" applyNumberFormat="1" applyFont="1" applyFill="1"/>
    <xf numFmtId="170" fontId="9" fillId="0" borderId="1" xfId="0" applyNumberFormat="1" applyFont="1" applyBorder="1"/>
    <xf numFmtId="0" fontId="9" fillId="8" borderId="4" xfId="0" applyFont="1" applyFill="1" applyBorder="1" applyAlignment="1">
      <alignment wrapText="1"/>
    </xf>
    <xf numFmtId="169" fontId="9" fillId="0" borderId="4" xfId="0" applyNumberFormat="1" applyFont="1" applyBorder="1"/>
    <xf numFmtId="0" fontId="9" fillId="8" borderId="1" xfId="0" applyFont="1" applyFill="1" applyBorder="1" applyAlignment="1">
      <alignment wrapText="1"/>
    </xf>
    <xf numFmtId="0" fontId="9" fillId="22" borderId="0" xfId="0" applyFont="1" applyFill="1"/>
    <xf numFmtId="2" fontId="9" fillId="0" borderId="0" xfId="0" applyNumberFormat="1" applyFont="1" applyFill="1"/>
    <xf numFmtId="0" fontId="9" fillId="19" borderId="0" xfId="0" applyFont="1" applyFill="1"/>
    <xf numFmtId="0" fontId="9" fillId="20" borderId="0" xfId="0" applyFont="1" applyFill="1"/>
    <xf numFmtId="0" fontId="9" fillId="21" borderId="0" xfId="0" applyFont="1" applyFill="1"/>
    <xf numFmtId="0" fontId="9" fillId="0" borderId="0" xfId="0" applyFont="1" applyAlignment="1"/>
    <xf numFmtId="0" fontId="9" fillId="23" borderId="0" xfId="0" applyFont="1" applyFill="1"/>
    <xf numFmtId="0" fontId="9" fillId="24" borderId="0" xfId="0" applyFont="1" applyFill="1"/>
    <xf numFmtId="0" fontId="9" fillId="27" borderId="0" xfId="0" applyFont="1" applyFill="1"/>
    <xf numFmtId="0" fontId="9" fillId="25" borderId="0" xfId="0" applyFont="1" applyFill="1"/>
    <xf numFmtId="0" fontId="9" fillId="26" borderId="0" xfId="0" applyFont="1" applyFill="1"/>
    <xf numFmtId="0" fontId="9" fillId="8" borderId="1" xfId="0" applyFont="1" applyFill="1" applyBorder="1" applyAlignment="1"/>
    <xf numFmtId="169" fontId="9" fillId="0" borderId="0" xfId="0" applyNumberFormat="1" applyFont="1"/>
    <xf numFmtId="170" fontId="9" fillId="0" borderId="0" xfId="0" applyNumberFormat="1" applyFont="1"/>
    <xf numFmtId="4" fontId="9" fillId="8" borderId="0" xfId="0" applyNumberFormat="1" applyFont="1" applyFill="1"/>
    <xf numFmtId="4" fontId="9" fillId="8" borderId="1" xfId="0" applyNumberFormat="1" applyFont="1" applyFill="1" applyBorder="1"/>
    <xf numFmtId="0" fontId="9" fillId="22" borderId="1" xfId="0" applyFont="1" applyFill="1" applyBorder="1"/>
    <xf numFmtId="2" fontId="9" fillId="0" borderId="1" xfId="0" applyNumberFormat="1" applyFont="1" applyFill="1" applyBorder="1"/>
    <xf numFmtId="10" fontId="9" fillId="0" borderId="1" xfId="0" applyNumberFormat="1" applyFont="1" applyBorder="1"/>
    <xf numFmtId="0" fontId="9" fillId="19" borderId="1" xfId="0" applyFont="1" applyFill="1" applyBorder="1"/>
    <xf numFmtId="0" fontId="9" fillId="20" borderId="1" xfId="0" applyFont="1" applyFill="1" applyBorder="1"/>
    <xf numFmtId="0" fontId="9" fillId="21" borderId="1" xfId="0" applyFont="1" applyFill="1" applyBorder="1"/>
    <xf numFmtId="0" fontId="9" fillId="23" borderId="1" xfId="0" applyFont="1" applyFill="1" applyBorder="1"/>
    <xf numFmtId="0" fontId="9" fillId="24" borderId="1" xfId="0" applyFont="1" applyFill="1" applyBorder="1"/>
    <xf numFmtId="0" fontId="9" fillId="25" borderId="1" xfId="0" applyFont="1" applyFill="1" applyBorder="1"/>
    <xf numFmtId="0" fontId="9" fillId="26" borderId="1" xfId="0" applyFont="1" applyFill="1" applyBorder="1"/>
    <xf numFmtId="0" fontId="9" fillId="9" borderId="0" xfId="0" applyFont="1" applyFill="1" applyAlignment="1">
      <alignment horizontal="center"/>
    </xf>
    <xf numFmtId="0" fontId="9" fillId="8" borderId="1" xfId="0" applyFont="1" applyFill="1" applyBorder="1" applyAlignment="1">
      <alignment horizontal="center" vertical="center"/>
    </xf>
    <xf numFmtId="0" fontId="9" fillId="11" borderId="0" xfId="0" applyFont="1" applyFill="1" applyAlignment="1">
      <alignment horizontal="center"/>
    </xf>
    <xf numFmtId="0" fontId="9" fillId="8" borderId="0" xfId="0" applyFont="1" applyFill="1" applyAlignment="1">
      <alignment horizontal="center"/>
    </xf>
    <xf numFmtId="0" fontId="9" fillId="8" borderId="1" xfId="0" applyFont="1" applyFill="1" applyBorder="1" applyAlignment="1">
      <alignment horizontal="center"/>
    </xf>
    <xf numFmtId="0" fontId="9" fillId="8" borderId="1" xfId="0" applyFont="1" applyFill="1" applyBorder="1" applyAlignment="1">
      <alignment horizontal="center" wrapText="1"/>
    </xf>
    <xf numFmtId="0" fontId="9" fillId="8" borderId="6" xfId="0" applyFont="1" applyFill="1" applyBorder="1" applyAlignment="1">
      <alignment horizontal="center" vertical="center" wrapText="1"/>
    </xf>
    <xf numFmtId="0" fontId="9" fillId="8" borderId="7" xfId="0" applyFont="1" applyFill="1" applyBorder="1" applyAlignment="1">
      <alignment horizontal="center" vertical="center" wrapText="1"/>
    </xf>
    <xf numFmtId="0" fontId="9" fillId="8" borderId="8" xfId="0" applyFont="1" applyFill="1" applyBorder="1" applyAlignment="1">
      <alignment horizontal="center" vertical="center" wrapText="1"/>
    </xf>
    <xf numFmtId="0" fontId="9" fillId="8" borderId="0" xfId="0" applyFont="1" applyFill="1" applyAlignment="1">
      <alignment horizontal="center" vertical="center" wrapText="1"/>
    </xf>
    <xf numFmtId="0" fontId="9" fillId="8" borderId="6" xfId="0" applyFont="1" applyFill="1" applyBorder="1" applyAlignment="1">
      <alignment horizontal="center" vertical="center"/>
    </xf>
    <xf numFmtId="0" fontId="9" fillId="8" borderId="7" xfId="0" applyFont="1" applyFill="1" applyBorder="1" applyAlignment="1">
      <alignment horizontal="center" vertical="center"/>
    </xf>
    <xf numFmtId="0" fontId="9" fillId="8" borderId="8" xfId="0" applyFont="1" applyFill="1" applyBorder="1" applyAlignment="1">
      <alignment horizontal="center" vertical="center"/>
    </xf>
    <xf numFmtId="0" fontId="1" fillId="8" borderId="0" xfId="0" applyFont="1" applyFill="1" applyAlignment="1">
      <alignment horizontal="center"/>
    </xf>
    <xf numFmtId="0" fontId="7" fillId="12" borderId="1" xfId="0" applyFont="1" applyFill="1" applyBorder="1" applyAlignment="1">
      <alignment horizontal="center"/>
    </xf>
    <xf numFmtId="0" fontId="7" fillId="13" borderId="1" xfId="0" applyFont="1" applyFill="1" applyBorder="1" applyAlignment="1">
      <alignment horizontal="center"/>
    </xf>
    <xf numFmtId="0" fontId="7" fillId="14" borderId="1" xfId="0" applyFont="1" applyFill="1" applyBorder="1" applyAlignment="1">
      <alignment horizontal="center"/>
    </xf>
    <xf numFmtId="0" fontId="7" fillId="15" borderId="1" xfId="0" applyFont="1" applyFill="1" applyBorder="1" applyAlignment="1">
      <alignment horizontal="center"/>
    </xf>
    <xf numFmtId="0" fontId="1" fillId="0" borderId="1" xfId="0" applyFont="1" applyBorder="1" applyAlignment="1">
      <alignment horizontal="center" wrapText="1"/>
    </xf>
    <xf numFmtId="0" fontId="1" fillId="8" borderId="5" xfId="0" applyFont="1" applyFill="1" applyBorder="1" applyAlignment="1">
      <alignment horizontal="center"/>
    </xf>
    <xf numFmtId="0" fontId="1" fillId="8" borderId="0" xfId="0" applyFont="1" applyFill="1" applyBorder="1" applyAlignment="1">
      <alignment horizontal="center"/>
    </xf>
    <xf numFmtId="0" fontId="1" fillId="8" borderId="5" xfId="0" applyFont="1" applyFill="1" applyBorder="1" applyAlignment="1">
      <alignment horizontal="center" wrapText="1"/>
    </xf>
    <xf numFmtId="0" fontId="1" fillId="8" borderId="0" xfId="0" applyFont="1" applyFill="1" applyBorder="1" applyAlignment="1">
      <alignment horizontal="center" wrapText="1"/>
    </xf>
  </cellXfs>
  <cellStyles count="2">
    <cellStyle name="Migliaia" xfId="1" builtinId="3"/>
    <cellStyle name="Normale" xfId="0" builtinId="0"/>
  </cellStyles>
  <dxfs count="0"/>
  <tableStyles count="0" defaultTableStyle="TableStyleMedium2" defaultPivotStyle="PivotStyleLight16"/>
  <colors>
    <mruColors>
      <color rgb="FFFF5353"/>
      <color rgb="FFFF6969"/>
      <color rgb="FFDA0000"/>
      <color rgb="FFFF2929"/>
      <color rgb="FFFF4747"/>
      <color rgb="FFFF0000"/>
      <color rgb="FFCC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themeOverride" Target="../theme/themeOverride5.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themeOverride" Target="../theme/themeOverride6.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7.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3" Type="http://schemas.openxmlformats.org/officeDocument/2006/relationships/themeOverride" Target="../theme/themeOverride8.xml"/><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68.xml.rels><?xml version="1.0" encoding="UTF-8" standalone="yes"?>
<Relationships xmlns="http://schemas.openxmlformats.org/package/2006/relationships"><Relationship Id="rId2" Type="http://schemas.microsoft.com/office/2011/relationships/chartColorStyle" Target="colors68.xml"/><Relationship Id="rId1" Type="http://schemas.microsoft.com/office/2011/relationships/chartStyle" Target="style68.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a:t>
            </a:r>
            <a:r>
              <a:rPr lang="it-IT" baseline="0"/>
              <a:t> delle emissioni specifiche (CO</a:t>
            </a:r>
            <a:r>
              <a:rPr lang="it-IT" baseline="-25000"/>
              <a:t>2</a:t>
            </a:r>
            <a:r>
              <a:rPr lang="it-IT" baseline="0"/>
              <a:t>)</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8"/>
          <c:order val="0"/>
          <c:tx>
            <c:v>2011</c:v>
          </c:tx>
          <c:spPr>
            <a:solidFill>
              <a:schemeClr val="accent3">
                <a:lumMod val="60000"/>
              </a:schemeClr>
            </a:solidFill>
            <a:ln>
              <a:noFill/>
            </a:ln>
            <a:effectLst/>
          </c:spPr>
          <c:invertIfNegative val="0"/>
          <c:val>
            <c:numRef>
              <c:f>'Analisi dati, formula corretta'!$AT$4:$AT$52</c:f>
              <c:numCache>
                <c:formatCode>#,##0.00</c:formatCode>
                <c:ptCount val="49"/>
                <c:pt idx="0">
                  <c:v>381.92663286609007</c:v>
                </c:pt>
                <c:pt idx="1">
                  <c:v>392</c:v>
                </c:pt>
                <c:pt idx="2">
                  <c:v>839.93210388329931</c:v>
                </c:pt>
                <c:pt idx="3">
                  <c:v>406.34291377601585</c:v>
                </c:pt>
                <c:pt idx="4">
                  <c:v>332.96373779637378</c:v>
                </c:pt>
                <c:pt idx="5">
                  <c:v>398</c:v>
                </c:pt>
                <c:pt idx="6">
                  <c:v>928.90060240963851</c:v>
                </c:pt>
                <c:pt idx="7">
                  <c:v>398.33742556691772</c:v>
                </c:pt>
                <c:pt idx="8">
                  <c:v>835</c:v>
                </c:pt>
                <c:pt idx="9">
                  <c:v>384.75025484199796</c:v>
                </c:pt>
                <c:pt idx="10">
                  <c:v>387.02928870292885</c:v>
                </c:pt>
                <c:pt idx="11">
                  <c:v>751.31480090157777</c:v>
                </c:pt>
                <c:pt idx="12">
                  <c:v>389.35108153078204</c:v>
                </c:pt>
                <c:pt idx="13">
                  <c:v>909.03009014553072</c:v>
                </c:pt>
                <c:pt idx="14">
                  <c:v>961.04536489151872</c:v>
                </c:pt>
                <c:pt idx="15">
                  <c:v>384.58387329013681</c:v>
                </c:pt>
                <c:pt idx="16">
                  <c:v>389.32013574660635</c:v>
                </c:pt>
                <c:pt idx="17">
                  <c:v>380.98257432951976</c:v>
                </c:pt>
                <c:pt idx="18">
                  <c:v>283.97888085141767</c:v>
                </c:pt>
                <c:pt idx="19">
                  <c:v>394.54926705250261</c:v>
                </c:pt>
                <c:pt idx="20">
                  <c:v>405.65297962293738</c:v>
                </c:pt>
                <c:pt idx="21">
                  <c:v>256.09003772815339</c:v>
                </c:pt>
                <c:pt idx="22">
                  <c:v>284.33710325550567</c:v>
                </c:pt>
                <c:pt idx="23">
                  <c:v>305.79262838685275</c:v>
                </c:pt>
                <c:pt idx="24">
                  <c:v>336.97943274677226</c:v>
                </c:pt>
                <c:pt idx="25">
                  <c:v>391.48358906078278</c:v>
                </c:pt>
                <c:pt idx="26">
                  <c:v>400.83660683805891</c:v>
                </c:pt>
                <c:pt idx="27">
                  <c:v>246.77544991957592</c:v>
                </c:pt>
                <c:pt idx="28">
                  <c:v>392.9733246584255</c:v>
                </c:pt>
                <c:pt idx="29">
                  <c:v>263.85704444741469</c:v>
                </c:pt>
                <c:pt idx="30">
                  <c:v>379.99891468504126</c:v>
                </c:pt>
                <c:pt idx="31">
                  <c:v>308.34670976851334</c:v>
                </c:pt>
                <c:pt idx="32">
                  <c:v>1321.5660318913515</c:v>
                </c:pt>
                <c:pt idx="33">
                  <c:v>395.69140506954216</c:v>
                </c:pt>
                <c:pt idx="34">
                  <c:v>365.89775012356381</c:v>
                </c:pt>
                <c:pt idx="35">
                  <c:v>398.16100188855279</c:v>
                </c:pt>
                <c:pt idx="36">
                  <c:v>0</c:v>
                </c:pt>
                <c:pt idx="37">
                  <c:v>366.73473163444999</c:v>
                </c:pt>
                <c:pt idx="38">
                  <c:v>375.29272226719524</c:v>
                </c:pt>
                <c:pt idx="39">
                  <c:v>0</c:v>
                </c:pt>
                <c:pt idx="40">
                  <c:v>374.69623570932981</c:v>
                </c:pt>
                <c:pt idx="41">
                  <c:v>950.17923208796742</c:v>
                </c:pt>
                <c:pt idx="42">
                  <c:v>381.55347709675084</c:v>
                </c:pt>
                <c:pt idx="43">
                  <c:v>450.3345885511103</c:v>
                </c:pt>
                <c:pt idx="44">
                  <c:v>0</c:v>
                </c:pt>
                <c:pt idx="45">
                  <c:v>303.09496964362853</c:v>
                </c:pt>
                <c:pt idx="46">
                  <c:v>0</c:v>
                </c:pt>
                <c:pt idx="47">
                  <c:v>0</c:v>
                </c:pt>
                <c:pt idx="48">
                  <c:v>0</c:v>
                </c:pt>
              </c:numCache>
            </c:numRef>
          </c:val>
          <c:extLst>
            <c:ext xmlns:c16="http://schemas.microsoft.com/office/drawing/2014/chart" uri="{C3380CC4-5D6E-409C-BE32-E72D297353CC}">
              <c16:uniqueId val="{00000009-57B3-4998-8843-2A60CD0399EC}"/>
            </c:ext>
          </c:extLst>
        </c:ser>
        <c:ser>
          <c:idx val="0"/>
          <c:order val="1"/>
          <c:tx>
            <c:v>2012</c:v>
          </c:tx>
          <c:spPr>
            <a:solidFill>
              <a:schemeClr val="accent1"/>
            </a:solidFill>
            <a:ln>
              <a:noFill/>
            </a:ln>
            <a:effectLst/>
          </c:spPr>
          <c:invertIfNegative val="0"/>
          <c:val>
            <c:numRef>
              <c:f>'Analisi dati, formula corretta'!$AU$4:$AU$52</c:f>
              <c:numCache>
                <c:formatCode>#,##0.00</c:formatCode>
                <c:ptCount val="49"/>
                <c:pt idx="0">
                  <c:v>393.78061282606222</c:v>
                </c:pt>
                <c:pt idx="1">
                  <c:v>393.10344827586209</c:v>
                </c:pt>
                <c:pt idx="2">
                  <c:v>835.7660535647351</c:v>
                </c:pt>
                <c:pt idx="3">
                  <c:v>408.03108808290153</c:v>
                </c:pt>
                <c:pt idx="4">
                  <c:v>329.57771664374138</c:v>
                </c:pt>
                <c:pt idx="5">
                  <c:v>398</c:v>
                </c:pt>
                <c:pt idx="6">
                  <c:v>956.51640926640925</c:v>
                </c:pt>
                <c:pt idx="7">
                  <c:v>406.39933502584518</c:v>
                </c:pt>
                <c:pt idx="8">
                  <c:v>827</c:v>
                </c:pt>
                <c:pt idx="9">
                  <c:v>389.98380323935214</c:v>
                </c:pt>
                <c:pt idx="10">
                  <c:v>388.20512820512823</c:v>
                </c:pt>
                <c:pt idx="11">
                  <c:v>761.28177294066222</c:v>
                </c:pt>
                <c:pt idx="12">
                  <c:v>566.6774297707459</c:v>
                </c:pt>
                <c:pt idx="13">
                  <c:v>933.67073251514137</c:v>
                </c:pt>
                <c:pt idx="14">
                  <c:v>945.70374275171321</c:v>
                </c:pt>
                <c:pt idx="15">
                  <c:v>387.529689608637</c:v>
                </c:pt>
                <c:pt idx="16">
                  <c:v>388.9325657894737</c:v>
                </c:pt>
                <c:pt idx="17">
                  <c:v>371.0894385149283</c:v>
                </c:pt>
                <c:pt idx="18">
                  <c:v>272.37917440582231</c:v>
                </c:pt>
                <c:pt idx="19">
                  <c:v>403.74325240148761</c:v>
                </c:pt>
                <c:pt idx="20">
                  <c:v>445.0462920074765</c:v>
                </c:pt>
                <c:pt idx="21">
                  <c:v>250.55366786946598</c:v>
                </c:pt>
                <c:pt idx="22">
                  <c:v>276.77636636639573</c:v>
                </c:pt>
                <c:pt idx="23">
                  <c:v>294.82904596730492</c:v>
                </c:pt>
                <c:pt idx="24">
                  <c:v>330.21051401765925</c:v>
                </c:pt>
                <c:pt idx="25">
                  <c:v>392.20848819174154</c:v>
                </c:pt>
                <c:pt idx="26">
                  <c:v>423.24013624751638</c:v>
                </c:pt>
                <c:pt idx="27">
                  <c:v>253.70579808489785</c:v>
                </c:pt>
                <c:pt idx="28">
                  <c:v>390.85545722713863</c:v>
                </c:pt>
                <c:pt idx="29">
                  <c:v>261.92564287280356</c:v>
                </c:pt>
                <c:pt idx="30">
                  <c:v>375.19897366593415</c:v>
                </c:pt>
                <c:pt idx="31">
                  <c:v>299.69568113588042</c:v>
                </c:pt>
                <c:pt idx="32">
                  <c:v>1549.0756119898792</c:v>
                </c:pt>
                <c:pt idx="33">
                  <c:v>409.39572628290733</c:v>
                </c:pt>
                <c:pt idx="34">
                  <c:v>376.24064350988806</c:v>
                </c:pt>
                <c:pt idx="35">
                  <c:v>403.02083379243783</c:v>
                </c:pt>
                <c:pt idx="36">
                  <c:v>0</c:v>
                </c:pt>
                <c:pt idx="37">
                  <c:v>370.71537105695012</c:v>
                </c:pt>
                <c:pt idx="38">
                  <c:v>376.02880658436214</c:v>
                </c:pt>
                <c:pt idx="39">
                  <c:v>586.66765873015868</c:v>
                </c:pt>
                <c:pt idx="40">
                  <c:v>369.6678808369054</c:v>
                </c:pt>
                <c:pt idx="41">
                  <c:v>938.41831292098254</c:v>
                </c:pt>
                <c:pt idx="42">
                  <c:v>381.69719293502749</c:v>
                </c:pt>
                <c:pt idx="43">
                  <c:v>458.08780703128593</c:v>
                </c:pt>
                <c:pt idx="44">
                  <c:v>0</c:v>
                </c:pt>
                <c:pt idx="45">
                  <c:v>307.72331272343132</c:v>
                </c:pt>
                <c:pt idx="46">
                  <c:v>0</c:v>
                </c:pt>
                <c:pt idx="47">
                  <c:v>370.4</c:v>
                </c:pt>
                <c:pt idx="48">
                  <c:v>378.51711102626177</c:v>
                </c:pt>
              </c:numCache>
            </c:numRef>
          </c:val>
          <c:extLst>
            <c:ext xmlns:c16="http://schemas.microsoft.com/office/drawing/2014/chart" uri="{C3380CC4-5D6E-409C-BE32-E72D297353CC}">
              <c16:uniqueId val="{0000000A-57B3-4998-8843-2A60CD0399EC}"/>
            </c:ext>
          </c:extLst>
        </c:ser>
        <c:ser>
          <c:idx val="1"/>
          <c:order val="2"/>
          <c:tx>
            <c:v>2013</c:v>
          </c:tx>
          <c:spPr>
            <a:solidFill>
              <a:schemeClr val="accent2"/>
            </a:solidFill>
            <a:ln>
              <a:noFill/>
            </a:ln>
            <a:effectLst/>
          </c:spPr>
          <c:invertIfNegative val="0"/>
          <c:val>
            <c:numRef>
              <c:f>'Analisi dati, formula corretta'!$AV$4:$AV$52</c:f>
              <c:numCache>
                <c:formatCode>#,##0.00</c:formatCode>
                <c:ptCount val="49"/>
                <c:pt idx="0">
                  <c:v>441.29258663547301</c:v>
                </c:pt>
                <c:pt idx="1">
                  <c:v>401.45985401459853</c:v>
                </c:pt>
                <c:pt idx="2">
                  <c:v>866.27597310290628</c:v>
                </c:pt>
                <c:pt idx="3">
                  <c:v>386.63282571912015</c:v>
                </c:pt>
                <c:pt idx="4">
                  <c:v>342.19692737430165</c:v>
                </c:pt>
                <c:pt idx="5">
                  <c:v>404.94865017116609</c:v>
                </c:pt>
                <c:pt idx="6">
                  <c:v>935.61089238845148</c:v>
                </c:pt>
                <c:pt idx="7">
                  <c:v>414.78737518950584</c:v>
                </c:pt>
                <c:pt idx="8">
                  <c:v>842</c:v>
                </c:pt>
                <c:pt idx="9">
                  <c:v>396.79809976247031</c:v>
                </c:pt>
                <c:pt idx="10">
                  <c:v>0</c:v>
                </c:pt>
                <c:pt idx="11">
                  <c:v>714.40168858580932</c:v>
                </c:pt>
                <c:pt idx="12">
                  <c:v>393.23990107172301</c:v>
                </c:pt>
                <c:pt idx="13">
                  <c:v>993.18166468688287</c:v>
                </c:pt>
                <c:pt idx="14">
                  <c:v>1006.0676105171916</c:v>
                </c:pt>
                <c:pt idx="15">
                  <c:v>426.89509752240383</c:v>
                </c:pt>
                <c:pt idx="16">
                  <c:v>402.52884615384613</c:v>
                </c:pt>
                <c:pt idx="17">
                  <c:v>379.66920346248338</c:v>
                </c:pt>
                <c:pt idx="18">
                  <c:v>270.99669432870769</c:v>
                </c:pt>
                <c:pt idx="19">
                  <c:v>397.603257139498</c:v>
                </c:pt>
                <c:pt idx="20">
                  <c:v>450.12983205595344</c:v>
                </c:pt>
                <c:pt idx="21">
                  <c:v>247.01207046092847</c:v>
                </c:pt>
                <c:pt idx="22">
                  <c:v>259.82872881128208</c:v>
                </c:pt>
                <c:pt idx="23">
                  <c:v>287.5274771350301</c:v>
                </c:pt>
                <c:pt idx="24">
                  <c:v>320.00838185784283</c:v>
                </c:pt>
                <c:pt idx="25">
                  <c:v>415.98678846483415</c:v>
                </c:pt>
                <c:pt idx="26">
                  <c:v>469.45583122688157</c:v>
                </c:pt>
                <c:pt idx="27">
                  <c:v>219.97609738812915</c:v>
                </c:pt>
                <c:pt idx="28">
                  <c:v>409.65517241379308</c:v>
                </c:pt>
                <c:pt idx="29">
                  <c:v>262.97357529449221</c:v>
                </c:pt>
                <c:pt idx="30">
                  <c:v>387.32541865097852</c:v>
                </c:pt>
                <c:pt idx="31">
                  <c:v>309.96613012944516</c:v>
                </c:pt>
                <c:pt idx="32">
                  <c:v>1563.7449528193529</c:v>
                </c:pt>
                <c:pt idx="33">
                  <c:v>399.19196048590959</c:v>
                </c:pt>
                <c:pt idx="34">
                  <c:v>375.18107486292996</c:v>
                </c:pt>
                <c:pt idx="35">
                  <c:v>415.15270223118438</c:v>
                </c:pt>
                <c:pt idx="36">
                  <c:v>0</c:v>
                </c:pt>
                <c:pt idx="37">
                  <c:v>393.31920773836941</c:v>
                </c:pt>
                <c:pt idx="38">
                  <c:v>406.11182041793796</c:v>
                </c:pt>
                <c:pt idx="39">
                  <c:v>314.26551287463064</c:v>
                </c:pt>
                <c:pt idx="40">
                  <c:v>371.95867524005297</c:v>
                </c:pt>
                <c:pt idx="41">
                  <c:v>981.7408728717329</c:v>
                </c:pt>
                <c:pt idx="42">
                  <c:v>389.3135345666991</c:v>
                </c:pt>
                <c:pt idx="43">
                  <c:v>442.18017376574215</c:v>
                </c:pt>
                <c:pt idx="44">
                  <c:v>396.4040315512708</c:v>
                </c:pt>
                <c:pt idx="45">
                  <c:v>305.67545286985575</c:v>
                </c:pt>
                <c:pt idx="46">
                  <c:v>439.27471930459978</c:v>
                </c:pt>
                <c:pt idx="47">
                  <c:v>365.8</c:v>
                </c:pt>
                <c:pt idx="48">
                  <c:v>380.44213709186511</c:v>
                </c:pt>
              </c:numCache>
            </c:numRef>
          </c:val>
          <c:extLst>
            <c:ext xmlns:c16="http://schemas.microsoft.com/office/drawing/2014/chart" uri="{C3380CC4-5D6E-409C-BE32-E72D297353CC}">
              <c16:uniqueId val="{0000000B-57B3-4998-8843-2A60CD0399EC}"/>
            </c:ext>
          </c:extLst>
        </c:ser>
        <c:ser>
          <c:idx val="2"/>
          <c:order val="3"/>
          <c:tx>
            <c:v>2014</c:v>
          </c:tx>
          <c:spPr>
            <a:solidFill>
              <a:schemeClr val="accent3"/>
            </a:solidFill>
            <a:ln>
              <a:noFill/>
            </a:ln>
            <a:effectLst/>
          </c:spPr>
          <c:invertIfNegative val="0"/>
          <c:val>
            <c:numRef>
              <c:f>'Analisi dati, formula corretta'!$AW$4:$AW$52</c:f>
              <c:numCache>
                <c:formatCode>#,##0.00</c:formatCode>
                <c:ptCount val="49"/>
                <c:pt idx="0">
                  <c:v>457.22336065573774</c:v>
                </c:pt>
                <c:pt idx="1">
                  <c:v>415.47277936962752</c:v>
                </c:pt>
                <c:pt idx="2">
                  <c:v>875.56926759240332</c:v>
                </c:pt>
                <c:pt idx="3">
                  <c:v>402.71966527196651</c:v>
                </c:pt>
                <c:pt idx="4">
                  <c:v>368.16159695817493</c:v>
                </c:pt>
                <c:pt idx="5">
                  <c:v>409</c:v>
                </c:pt>
                <c:pt idx="6">
                  <c:v>1009.8106617647059</c:v>
                </c:pt>
                <c:pt idx="7">
                  <c:v>447.57613394060508</c:v>
                </c:pt>
                <c:pt idx="8">
                  <c:v>858</c:v>
                </c:pt>
                <c:pt idx="9">
                  <c:v>414.22955974842768</c:v>
                </c:pt>
                <c:pt idx="10">
                  <c:v>0</c:v>
                </c:pt>
                <c:pt idx="11">
                  <c:v>666.43130005672595</c:v>
                </c:pt>
                <c:pt idx="12">
                  <c:v>404.71380471380473</c:v>
                </c:pt>
                <c:pt idx="13">
                  <c:v>972.7509396288882</c:v>
                </c:pt>
                <c:pt idx="14">
                  <c:v>1000.6277463904582</c:v>
                </c:pt>
                <c:pt idx="15">
                  <c:v>456.04920405209845</c:v>
                </c:pt>
                <c:pt idx="16">
                  <c:v>435.42156862745099</c:v>
                </c:pt>
                <c:pt idx="17">
                  <c:v>375.63149567502461</c:v>
                </c:pt>
                <c:pt idx="18">
                  <c:v>259.82009735907627</c:v>
                </c:pt>
                <c:pt idx="19">
                  <c:v>409.50499794853545</c:v>
                </c:pt>
                <c:pt idx="20">
                  <c:v>530.57352726565159</c:v>
                </c:pt>
                <c:pt idx="21">
                  <c:v>245.16108953291507</c:v>
                </c:pt>
                <c:pt idx="22">
                  <c:v>249.3100088589444</c:v>
                </c:pt>
                <c:pt idx="23">
                  <c:v>284.1943231590372</c:v>
                </c:pt>
                <c:pt idx="24">
                  <c:v>309.9667843972922</c:v>
                </c:pt>
                <c:pt idx="25">
                  <c:v>425.04475486313993</c:v>
                </c:pt>
                <c:pt idx="26">
                  <c:v>506.171279861541</c:v>
                </c:pt>
                <c:pt idx="27">
                  <c:v>256.55982757421953</c:v>
                </c:pt>
                <c:pt idx="28">
                  <c:v>415.07430997876855</c:v>
                </c:pt>
                <c:pt idx="29">
                  <c:v>262.52177928920798</c:v>
                </c:pt>
                <c:pt idx="30">
                  <c:v>393.32021971668883</c:v>
                </c:pt>
                <c:pt idx="31">
                  <c:v>299.30638850632619</c:v>
                </c:pt>
                <c:pt idx="32">
                  <c:v>1597.2827826358759</c:v>
                </c:pt>
                <c:pt idx="33">
                  <c:v>270.3193128946682</c:v>
                </c:pt>
                <c:pt idx="34">
                  <c:v>380.68745157687289</c:v>
                </c:pt>
                <c:pt idx="35">
                  <c:v>411.2795399132923</c:v>
                </c:pt>
                <c:pt idx="36">
                  <c:v>0</c:v>
                </c:pt>
                <c:pt idx="37">
                  <c:v>406.98655776756846</c:v>
                </c:pt>
                <c:pt idx="38">
                  <c:v>405.15145746802187</c:v>
                </c:pt>
                <c:pt idx="39">
                  <c:v>301.57371581054036</c:v>
                </c:pt>
                <c:pt idx="40">
                  <c:v>374.0066004530953</c:v>
                </c:pt>
                <c:pt idx="41">
                  <c:v>969.15835317616973</c:v>
                </c:pt>
                <c:pt idx="42">
                  <c:v>391.4002080412464</c:v>
                </c:pt>
                <c:pt idx="43">
                  <c:v>438.97122883788938</c:v>
                </c:pt>
                <c:pt idx="44">
                  <c:v>413.51363636363635</c:v>
                </c:pt>
                <c:pt idx="45">
                  <c:v>294.72063267423914</c:v>
                </c:pt>
                <c:pt idx="46">
                  <c:v>517.28965936515544</c:v>
                </c:pt>
                <c:pt idx="47">
                  <c:v>381.21098039215684</c:v>
                </c:pt>
                <c:pt idx="48">
                  <c:v>376.59227515144829</c:v>
                </c:pt>
              </c:numCache>
            </c:numRef>
          </c:val>
          <c:extLst>
            <c:ext xmlns:c16="http://schemas.microsoft.com/office/drawing/2014/chart" uri="{C3380CC4-5D6E-409C-BE32-E72D297353CC}">
              <c16:uniqueId val="{0000000C-57B3-4998-8843-2A60CD0399EC}"/>
            </c:ext>
          </c:extLst>
        </c:ser>
        <c:ser>
          <c:idx val="3"/>
          <c:order val="4"/>
          <c:tx>
            <c:v>2015</c:v>
          </c:tx>
          <c:spPr>
            <a:solidFill>
              <a:schemeClr val="accent4"/>
            </a:solidFill>
            <a:ln>
              <a:noFill/>
            </a:ln>
            <a:effectLst/>
          </c:spPr>
          <c:invertIfNegative val="0"/>
          <c:val>
            <c:numRef>
              <c:f>'Analisi dati, formula corretta'!$AX$4:$AX$52</c:f>
              <c:numCache>
                <c:formatCode>#,##0.00</c:formatCode>
                <c:ptCount val="49"/>
                <c:pt idx="0">
                  <c:v>451.40680185721652</c:v>
                </c:pt>
                <c:pt idx="1">
                  <c:v>424.14355628058729</c:v>
                </c:pt>
                <c:pt idx="2">
                  <c:v>894.48107130312383</c:v>
                </c:pt>
                <c:pt idx="3">
                  <c:v>391.47121535181236</c:v>
                </c:pt>
                <c:pt idx="4">
                  <c:v>366.74080267558526</c:v>
                </c:pt>
                <c:pt idx="5">
                  <c:v>393</c:v>
                </c:pt>
                <c:pt idx="6">
                  <c:v>1014.0391542678152</c:v>
                </c:pt>
                <c:pt idx="7">
                  <c:v>425.49614820883511</c:v>
                </c:pt>
                <c:pt idx="8">
                  <c:v>850</c:v>
                </c:pt>
                <c:pt idx="9">
                  <c:v>399.77260018639328</c:v>
                </c:pt>
                <c:pt idx="10">
                  <c:v>405.84561719365365</c:v>
                </c:pt>
                <c:pt idx="11">
                  <c:v>729.36504720612675</c:v>
                </c:pt>
                <c:pt idx="12">
                  <c:v>387.91593695271456</c:v>
                </c:pt>
                <c:pt idx="13">
                  <c:v>1002.0528681800685</c:v>
                </c:pt>
                <c:pt idx="14">
                  <c:v>1037.5485541648684</c:v>
                </c:pt>
                <c:pt idx="15">
                  <c:v>491.53677277716798</c:v>
                </c:pt>
                <c:pt idx="16">
                  <c:v>405.41984732824426</c:v>
                </c:pt>
                <c:pt idx="17">
                  <c:v>375.96005115092601</c:v>
                </c:pt>
                <c:pt idx="18">
                  <c:v>283.71083839754556</c:v>
                </c:pt>
                <c:pt idx="19">
                  <c:v>412.84354172136841</c:v>
                </c:pt>
                <c:pt idx="20">
                  <c:v>441.79383978981497</c:v>
                </c:pt>
                <c:pt idx="21">
                  <c:v>248.44958587172292</c:v>
                </c:pt>
                <c:pt idx="22">
                  <c:v>239.57722995200325</c:v>
                </c:pt>
                <c:pt idx="23">
                  <c:v>276.14481117226762</c:v>
                </c:pt>
                <c:pt idx="24">
                  <c:v>319.691634329728</c:v>
                </c:pt>
                <c:pt idx="25">
                  <c:v>400.35845181038303</c:v>
                </c:pt>
                <c:pt idx="26">
                  <c:v>1122.8523301516002</c:v>
                </c:pt>
                <c:pt idx="27">
                  <c:v>255.43596225788741</c:v>
                </c:pt>
                <c:pt idx="28">
                  <c:v>408.51063829787233</c:v>
                </c:pt>
                <c:pt idx="29">
                  <c:v>257.86845105125678</c:v>
                </c:pt>
                <c:pt idx="30">
                  <c:v>396.19671169539191</c:v>
                </c:pt>
                <c:pt idx="31">
                  <c:v>296.59218350572007</c:v>
                </c:pt>
                <c:pt idx="32">
                  <c:v>1574.9458981787498</c:v>
                </c:pt>
                <c:pt idx="33">
                  <c:v>272.01888597769812</c:v>
                </c:pt>
                <c:pt idx="34">
                  <c:v>380.88377272415124</c:v>
                </c:pt>
                <c:pt idx="35">
                  <c:v>416.1764985215811</c:v>
                </c:pt>
                <c:pt idx="36">
                  <c:v>0</c:v>
                </c:pt>
                <c:pt idx="37">
                  <c:v>392.04682889071648</c:v>
                </c:pt>
                <c:pt idx="38">
                  <c:v>405.55608182711825</c:v>
                </c:pt>
                <c:pt idx="39">
                  <c:v>272.93562101427273</c:v>
                </c:pt>
                <c:pt idx="40">
                  <c:v>370.99308523691974</c:v>
                </c:pt>
                <c:pt idx="41">
                  <c:v>988.21527432622122</c:v>
                </c:pt>
                <c:pt idx="42">
                  <c:v>383.51423732490139</c:v>
                </c:pt>
                <c:pt idx="43">
                  <c:v>425.42252588704594</c:v>
                </c:pt>
                <c:pt idx="44">
                  <c:v>400.21627405766304</c:v>
                </c:pt>
                <c:pt idx="45">
                  <c:v>294.14126408033547</c:v>
                </c:pt>
                <c:pt idx="46">
                  <c:v>507.59794605793661</c:v>
                </c:pt>
                <c:pt idx="47">
                  <c:v>381.72213967310552</c:v>
                </c:pt>
                <c:pt idx="48">
                  <c:v>370.99308523691974</c:v>
                </c:pt>
              </c:numCache>
            </c:numRef>
          </c:val>
          <c:extLst>
            <c:ext xmlns:c16="http://schemas.microsoft.com/office/drawing/2014/chart" uri="{C3380CC4-5D6E-409C-BE32-E72D297353CC}">
              <c16:uniqueId val="{0000000D-57B3-4998-8843-2A60CD0399EC}"/>
            </c:ext>
          </c:extLst>
        </c:ser>
        <c:ser>
          <c:idx val="4"/>
          <c:order val="5"/>
          <c:tx>
            <c:v>2016</c:v>
          </c:tx>
          <c:spPr>
            <a:solidFill>
              <a:schemeClr val="accent5"/>
            </a:solidFill>
            <a:ln>
              <a:noFill/>
            </a:ln>
            <a:effectLst/>
          </c:spPr>
          <c:invertIfNegative val="0"/>
          <c:val>
            <c:numRef>
              <c:f>'Analisi dati, formula corretta'!$AY$4:$AY$52</c:f>
              <c:numCache>
                <c:formatCode>#,##0.00</c:formatCode>
                <c:ptCount val="49"/>
                <c:pt idx="0">
                  <c:v>385.69407015478225</c:v>
                </c:pt>
                <c:pt idx="1">
                  <c:v>408.16326530612247</c:v>
                </c:pt>
                <c:pt idx="2">
                  <c:v>889.5640398392452</c:v>
                </c:pt>
                <c:pt idx="3">
                  <c:v>397.21448467966576</c:v>
                </c:pt>
                <c:pt idx="4">
                  <c:v>434.19320594479831</c:v>
                </c:pt>
                <c:pt idx="5">
                  <c:v>396.42563234631928</c:v>
                </c:pt>
                <c:pt idx="6">
                  <c:v>1099.6456310679612</c:v>
                </c:pt>
                <c:pt idx="7">
                  <c:v>432.0533961372567</c:v>
                </c:pt>
                <c:pt idx="8">
                  <c:v>883</c:v>
                </c:pt>
                <c:pt idx="9">
                  <c:v>397.12055837563452</c:v>
                </c:pt>
                <c:pt idx="10">
                  <c:v>391.92474119339761</c:v>
                </c:pt>
                <c:pt idx="11">
                  <c:v>724.87541203855596</c:v>
                </c:pt>
                <c:pt idx="12">
                  <c:v>381.10749185667754</c:v>
                </c:pt>
                <c:pt idx="13">
                  <c:v>1008.4917123451584</c:v>
                </c:pt>
                <c:pt idx="14">
                  <c:v>1033.0073349633251</c:v>
                </c:pt>
                <c:pt idx="15">
                  <c:v>392.51935453782301</c:v>
                </c:pt>
                <c:pt idx="16">
                  <c:v>400.41176470588238</c:v>
                </c:pt>
                <c:pt idx="17">
                  <c:v>375.22371939252059</c:v>
                </c:pt>
                <c:pt idx="18">
                  <c:v>286.95366319402478</c:v>
                </c:pt>
                <c:pt idx="19">
                  <c:v>416.42793043814964</c:v>
                </c:pt>
                <c:pt idx="20">
                  <c:v>394.10077836952064</c:v>
                </c:pt>
                <c:pt idx="21">
                  <c:v>250.08387364528534</c:v>
                </c:pt>
                <c:pt idx="22">
                  <c:v>269.20104362646759</c:v>
                </c:pt>
                <c:pt idx="23">
                  <c:v>263.28894378082333</c:v>
                </c:pt>
                <c:pt idx="24">
                  <c:v>315.16280533357775</c:v>
                </c:pt>
                <c:pt idx="25">
                  <c:v>402.81278760609467</c:v>
                </c:pt>
                <c:pt idx="26">
                  <c:v>531.17056568006547</c:v>
                </c:pt>
                <c:pt idx="27">
                  <c:v>238.20299843135237</c:v>
                </c:pt>
                <c:pt idx="28">
                  <c:v>410.83333333333331</c:v>
                </c:pt>
                <c:pt idx="29">
                  <c:v>257.01215717190161</c:v>
                </c:pt>
                <c:pt idx="30">
                  <c:v>388.09163580111942</c:v>
                </c:pt>
                <c:pt idx="31">
                  <c:v>300.87940322040481</c:v>
                </c:pt>
                <c:pt idx="32">
                  <c:v>1592.5085344482693</c:v>
                </c:pt>
                <c:pt idx="33">
                  <c:v>261.02591232590254</c:v>
                </c:pt>
                <c:pt idx="34">
                  <c:v>372.60057969497313</c:v>
                </c:pt>
                <c:pt idx="35">
                  <c:v>412.60154288708026</c:v>
                </c:pt>
                <c:pt idx="36">
                  <c:v>173.01178012277364</c:v>
                </c:pt>
                <c:pt idx="37">
                  <c:v>372.18598561733836</c:v>
                </c:pt>
                <c:pt idx="38">
                  <c:v>390.4534277454818</c:v>
                </c:pt>
                <c:pt idx="39">
                  <c:v>275.70053644682866</c:v>
                </c:pt>
                <c:pt idx="40">
                  <c:v>368.74767516868269</c:v>
                </c:pt>
                <c:pt idx="41">
                  <c:v>1018.8212452616015</c:v>
                </c:pt>
                <c:pt idx="42">
                  <c:v>375.79515017320813</c:v>
                </c:pt>
                <c:pt idx="43">
                  <c:v>410.85404164444236</c:v>
                </c:pt>
                <c:pt idx="44">
                  <c:v>393.79025300033572</c:v>
                </c:pt>
                <c:pt idx="45">
                  <c:v>296.04807446924866</c:v>
                </c:pt>
                <c:pt idx="46">
                  <c:v>420.42260378460844</c:v>
                </c:pt>
                <c:pt idx="47">
                  <c:v>388.76618837050671</c:v>
                </c:pt>
                <c:pt idx="48">
                  <c:v>368.74767516868269</c:v>
                </c:pt>
              </c:numCache>
            </c:numRef>
          </c:val>
          <c:extLst>
            <c:ext xmlns:c16="http://schemas.microsoft.com/office/drawing/2014/chart" uri="{C3380CC4-5D6E-409C-BE32-E72D297353CC}">
              <c16:uniqueId val="{0000000E-57B3-4998-8843-2A60CD0399EC}"/>
            </c:ext>
          </c:extLst>
        </c:ser>
        <c:ser>
          <c:idx val="5"/>
          <c:order val="6"/>
          <c:tx>
            <c:v>2017</c:v>
          </c:tx>
          <c:spPr>
            <a:solidFill>
              <a:schemeClr val="accent6"/>
            </a:solidFill>
            <a:ln>
              <a:noFill/>
            </a:ln>
            <a:effectLst/>
          </c:spPr>
          <c:invertIfNegative val="0"/>
          <c:val>
            <c:numRef>
              <c:f>'Analisi dati, formula corretta'!$AZ$4:$AZ$52</c:f>
              <c:numCache>
                <c:formatCode>#,##0.00</c:formatCode>
                <c:ptCount val="49"/>
                <c:pt idx="0">
                  <c:v>368.88</c:v>
                </c:pt>
                <c:pt idx="1">
                  <c:v>405.35909752359856</c:v>
                </c:pt>
                <c:pt idx="2">
                  <c:v>881.75829941203074</c:v>
                </c:pt>
                <c:pt idx="3">
                  <c:v>388.47824696097251</c:v>
                </c:pt>
                <c:pt idx="4">
                  <c:v>371</c:v>
                </c:pt>
                <c:pt idx="5">
                  <c:v>388.38532110091745</c:v>
                </c:pt>
                <c:pt idx="6">
                  <c:v>904.86689132266213</c:v>
                </c:pt>
                <c:pt idx="7">
                  <c:v>395.22230272631839</c:v>
                </c:pt>
                <c:pt idx="8">
                  <c:v>976.88275862068963</c:v>
                </c:pt>
                <c:pt idx="9">
                  <c:v>386.18599926009006</c:v>
                </c:pt>
                <c:pt idx="10">
                  <c:v>391.62999138401415</c:v>
                </c:pt>
                <c:pt idx="11">
                  <c:v>704.4110766089583</c:v>
                </c:pt>
                <c:pt idx="12">
                  <c:v>382.60635433494883</c:v>
                </c:pt>
                <c:pt idx="13">
                  <c:v>1014.2599631450249</c:v>
                </c:pt>
                <c:pt idx="14">
                  <c:v>985.69424964936889</c:v>
                </c:pt>
                <c:pt idx="15">
                  <c:v>395.39834153132517</c:v>
                </c:pt>
                <c:pt idx="16">
                  <c:v>387.4130624931002</c:v>
                </c:pt>
                <c:pt idx="17">
                  <c:v>364.17587834891265</c:v>
                </c:pt>
                <c:pt idx="18">
                  <c:v>281.57096027767068</c:v>
                </c:pt>
                <c:pt idx="19">
                  <c:v>407.69128245998718</c:v>
                </c:pt>
                <c:pt idx="20">
                  <c:v>388.47391789206461</c:v>
                </c:pt>
                <c:pt idx="21">
                  <c:v>248.44577280114868</c:v>
                </c:pt>
                <c:pt idx="22">
                  <c:v>245.27063673896387</c:v>
                </c:pt>
                <c:pt idx="23">
                  <c:v>267.09954756699329</c:v>
                </c:pt>
                <c:pt idx="24">
                  <c:v>324.73430023149348</c:v>
                </c:pt>
                <c:pt idx="25">
                  <c:v>398.48632709749376</c:v>
                </c:pt>
                <c:pt idx="26">
                  <c:v>482.20290754824356</c:v>
                </c:pt>
                <c:pt idx="27">
                  <c:v>231.55753233807644</c:v>
                </c:pt>
                <c:pt idx="28">
                  <c:v>408.46366145354187</c:v>
                </c:pt>
                <c:pt idx="29">
                  <c:v>259.06890130353821</c:v>
                </c:pt>
                <c:pt idx="30">
                  <c:v>384.98705261351364</c:v>
                </c:pt>
                <c:pt idx="31">
                  <c:v>287.65724699772517</c:v>
                </c:pt>
                <c:pt idx="32">
                  <c:v>1400.4351729065409</c:v>
                </c:pt>
                <c:pt idx="33">
                  <c:v>283.14788261666286</c:v>
                </c:pt>
                <c:pt idx="34">
                  <c:v>371.53078595186338</c:v>
                </c:pt>
                <c:pt idx="35">
                  <c:v>402.85219937028756</c:v>
                </c:pt>
                <c:pt idx="36">
                  <c:v>208.95619422805078</c:v>
                </c:pt>
                <c:pt idx="37">
                  <c:v>373.0368682992052</c:v>
                </c:pt>
                <c:pt idx="38">
                  <c:v>389.85446136501832</c:v>
                </c:pt>
                <c:pt idx="39">
                  <c:v>276.88581081081082</c:v>
                </c:pt>
                <c:pt idx="40">
                  <c:v>363.98177657120243</c:v>
                </c:pt>
                <c:pt idx="41">
                  <c:v>1068.7291356539076</c:v>
                </c:pt>
                <c:pt idx="42">
                  <c:v>371.8029686841416</c:v>
                </c:pt>
                <c:pt idx="43">
                  <c:v>415.55262710861052</c:v>
                </c:pt>
                <c:pt idx="44">
                  <c:v>395.01954948481028</c:v>
                </c:pt>
                <c:pt idx="45">
                  <c:v>289.6468877718379</c:v>
                </c:pt>
                <c:pt idx="46">
                  <c:v>453.52286643300533</c:v>
                </c:pt>
                <c:pt idx="47">
                  <c:v>384.21145770686195</c:v>
                </c:pt>
                <c:pt idx="48">
                  <c:v>378.75641083670774</c:v>
                </c:pt>
              </c:numCache>
            </c:numRef>
          </c:val>
          <c:extLst>
            <c:ext xmlns:c16="http://schemas.microsoft.com/office/drawing/2014/chart" uri="{C3380CC4-5D6E-409C-BE32-E72D297353CC}">
              <c16:uniqueId val="{0000000F-57B3-4998-8843-2A60CD0399EC}"/>
            </c:ext>
          </c:extLst>
        </c:ser>
        <c:ser>
          <c:idx val="6"/>
          <c:order val="7"/>
          <c:tx>
            <c:v>2018</c:v>
          </c:tx>
          <c:spPr>
            <a:solidFill>
              <a:schemeClr val="accent1">
                <a:lumMod val="60000"/>
              </a:schemeClr>
            </a:solidFill>
            <a:ln>
              <a:noFill/>
            </a:ln>
            <a:effectLst/>
          </c:spPr>
          <c:invertIfNegative val="0"/>
          <c:val>
            <c:numRef>
              <c:f>'Analisi dati, formula corretta'!$BA$4:$BA$52</c:f>
              <c:numCache>
                <c:formatCode>#,##0.00</c:formatCode>
                <c:ptCount val="49"/>
                <c:pt idx="0">
                  <c:v>419.89</c:v>
                </c:pt>
                <c:pt idx="1">
                  <c:v>409.58238022968067</c:v>
                </c:pt>
                <c:pt idx="2">
                  <c:v>926.72316513761473</c:v>
                </c:pt>
                <c:pt idx="3">
                  <c:v>381.0792815113038</c:v>
                </c:pt>
                <c:pt idx="4">
                  <c:v>371</c:v>
                </c:pt>
                <c:pt idx="5">
                  <c:v>406.27387996618768</c:v>
                </c:pt>
                <c:pt idx="6">
                  <c:v>911.67606915377621</c:v>
                </c:pt>
                <c:pt idx="7">
                  <c:v>388.20765449918542</c:v>
                </c:pt>
                <c:pt idx="8">
                  <c:v>986.56227461858532</c:v>
                </c:pt>
                <c:pt idx="9">
                  <c:v>386.67514957901295</c:v>
                </c:pt>
                <c:pt idx="10">
                  <c:v>387.01950587966007</c:v>
                </c:pt>
                <c:pt idx="11">
                  <c:v>723.44061520934213</c:v>
                </c:pt>
                <c:pt idx="12">
                  <c:v>387.13318284424378</c:v>
                </c:pt>
                <c:pt idx="13">
                  <c:v>1019.6104139153898</c:v>
                </c:pt>
                <c:pt idx="14">
                  <c:v>988.42664998436032</c:v>
                </c:pt>
                <c:pt idx="15">
                  <c:v>387.90872892767277</c:v>
                </c:pt>
                <c:pt idx="16">
                  <c:v>394.07139945256534</c:v>
                </c:pt>
                <c:pt idx="17">
                  <c:v>367.13450773789924</c:v>
                </c:pt>
                <c:pt idx="18">
                  <c:v>298.59904118544347</c:v>
                </c:pt>
                <c:pt idx="19">
                  <c:v>411.19435185307179</c:v>
                </c:pt>
                <c:pt idx="20">
                  <c:v>386.13351422450734</c:v>
                </c:pt>
                <c:pt idx="21">
                  <c:v>247.8819510806058</c:v>
                </c:pt>
                <c:pt idx="22">
                  <c:v>231.51000417853015</c:v>
                </c:pt>
                <c:pt idx="23">
                  <c:v>268.02066743883017</c:v>
                </c:pt>
                <c:pt idx="24">
                  <c:v>319.05597837364905</c:v>
                </c:pt>
                <c:pt idx="25">
                  <c:v>406.70106208846397</c:v>
                </c:pt>
                <c:pt idx="26">
                  <c:v>409.7043808619257</c:v>
                </c:pt>
                <c:pt idx="27">
                  <c:v>226.53597176454846</c:v>
                </c:pt>
                <c:pt idx="28">
                  <c:v>402.79823269513992</c:v>
                </c:pt>
                <c:pt idx="29">
                  <c:v>264.37665769244217</c:v>
                </c:pt>
                <c:pt idx="30">
                  <c:v>385.18648408683117</c:v>
                </c:pt>
                <c:pt idx="31">
                  <c:v>346.91898585325868</c:v>
                </c:pt>
                <c:pt idx="32">
                  <c:v>1365.3490259504147</c:v>
                </c:pt>
                <c:pt idx="33">
                  <c:v>284.14168604159806</c:v>
                </c:pt>
                <c:pt idx="34">
                  <c:v>384.19213288507154</c:v>
                </c:pt>
                <c:pt idx="35">
                  <c:v>401.87925261907333</c:v>
                </c:pt>
                <c:pt idx="36">
                  <c:v>236.84385824673595</c:v>
                </c:pt>
                <c:pt idx="37">
                  <c:v>381.55689254338745</c:v>
                </c:pt>
                <c:pt idx="38">
                  <c:v>389.48996516680569</c:v>
                </c:pt>
                <c:pt idx="39">
                  <c:v>275.68735855156808</c:v>
                </c:pt>
                <c:pt idx="40">
                  <c:v>366.7633781033324</c:v>
                </c:pt>
                <c:pt idx="41">
                  <c:v>1039.507111940613</c:v>
                </c:pt>
                <c:pt idx="42">
                  <c:v>374.89580731984796</c:v>
                </c:pt>
                <c:pt idx="43">
                  <c:v>399.3525124299793</c:v>
                </c:pt>
                <c:pt idx="44">
                  <c:v>391.54343972989676</c:v>
                </c:pt>
                <c:pt idx="45">
                  <c:v>279.38215946467051</c:v>
                </c:pt>
                <c:pt idx="46">
                  <c:v>430.55219855054116</c:v>
                </c:pt>
                <c:pt idx="47">
                  <c:v>377.37046885271144</c:v>
                </c:pt>
                <c:pt idx="48">
                  <c:v>379.23259748048815</c:v>
                </c:pt>
              </c:numCache>
            </c:numRef>
          </c:val>
          <c:extLst>
            <c:ext xmlns:c16="http://schemas.microsoft.com/office/drawing/2014/chart" uri="{C3380CC4-5D6E-409C-BE32-E72D297353CC}">
              <c16:uniqueId val="{00000010-57B3-4998-8843-2A60CD0399EC}"/>
            </c:ext>
          </c:extLst>
        </c:ser>
        <c:ser>
          <c:idx val="7"/>
          <c:order val="8"/>
          <c:tx>
            <c:v>2019</c:v>
          </c:tx>
          <c:spPr>
            <a:solidFill>
              <a:schemeClr val="accent2">
                <a:lumMod val="60000"/>
              </a:schemeClr>
            </a:solidFill>
            <a:ln>
              <a:noFill/>
            </a:ln>
            <a:effectLst/>
          </c:spPr>
          <c:invertIfNegative val="0"/>
          <c:val>
            <c:numRef>
              <c:f>'Analisi dati, formula corretta'!$BB$4:$BB$52</c:f>
              <c:numCache>
                <c:formatCode>#,##0.00</c:formatCode>
                <c:ptCount val="49"/>
                <c:pt idx="0">
                  <c:v>412.3</c:v>
                </c:pt>
                <c:pt idx="1">
                  <c:v>401.07605938585249</c:v>
                </c:pt>
                <c:pt idx="2">
                  <c:v>1028.8193651518611</c:v>
                </c:pt>
                <c:pt idx="3">
                  <c:v>379.55289765721329</c:v>
                </c:pt>
                <c:pt idx="4">
                  <c:v>386</c:v>
                </c:pt>
                <c:pt idx="5">
                  <c:v>386.94617563739376</c:v>
                </c:pt>
                <c:pt idx="6">
                  <c:v>882.47396630934145</c:v>
                </c:pt>
                <c:pt idx="7">
                  <c:v>394.73783455947142</c:v>
                </c:pt>
                <c:pt idx="8">
                  <c:v>1020.5023279875841</c:v>
                </c:pt>
                <c:pt idx="9">
                  <c:v>380.74424039983046</c:v>
                </c:pt>
                <c:pt idx="10">
                  <c:v>383.23726878930313</c:v>
                </c:pt>
                <c:pt idx="11">
                  <c:v>709.09307591467052</c:v>
                </c:pt>
                <c:pt idx="12">
                  <c:v>381.04020656584288</c:v>
                </c:pt>
                <c:pt idx="13">
                  <c:v>987.08187448670208</c:v>
                </c:pt>
                <c:pt idx="14">
                  <c:v>996.0972680876614</c:v>
                </c:pt>
                <c:pt idx="15">
                  <c:v>393.62834457951203</c:v>
                </c:pt>
                <c:pt idx="16">
                  <c:v>389.24523644308124</c:v>
                </c:pt>
                <c:pt idx="17">
                  <c:v>368.22433797550036</c:v>
                </c:pt>
                <c:pt idx="18">
                  <c:v>297.54750469826683</c:v>
                </c:pt>
                <c:pt idx="19">
                  <c:v>398.19853122774254</c:v>
                </c:pt>
                <c:pt idx="20">
                  <c:v>380.47284319130461</c:v>
                </c:pt>
                <c:pt idx="21">
                  <c:v>249.63268453557146</c:v>
                </c:pt>
                <c:pt idx="22">
                  <c:v>226.05266724053357</c:v>
                </c:pt>
                <c:pt idx="23">
                  <c:v>264.68753154045896</c:v>
                </c:pt>
                <c:pt idx="24">
                  <c:v>322.58963699208357</c:v>
                </c:pt>
                <c:pt idx="25">
                  <c:v>404.49073150664435</c:v>
                </c:pt>
                <c:pt idx="26">
                  <c:v>400.18382994743166</c:v>
                </c:pt>
                <c:pt idx="27">
                  <c:v>232.04161869800376</c:v>
                </c:pt>
                <c:pt idx="28">
                  <c:v>406.81818181818181</c:v>
                </c:pt>
                <c:pt idx="29">
                  <c:v>258.33805613673258</c:v>
                </c:pt>
                <c:pt idx="30">
                  <c:v>387.74340771304918</c:v>
                </c:pt>
                <c:pt idx="31">
                  <c:v>321.13423141688719</c:v>
                </c:pt>
                <c:pt idx="32">
                  <c:v>1315.3005104421818</c:v>
                </c:pt>
                <c:pt idx="33">
                  <c:v>281.32675916457544</c:v>
                </c:pt>
                <c:pt idx="34">
                  <c:v>384.49821561750724</c:v>
                </c:pt>
                <c:pt idx="35">
                  <c:v>398.94266051179977</c:v>
                </c:pt>
                <c:pt idx="36">
                  <c:v>178.69415807560139</c:v>
                </c:pt>
                <c:pt idx="37">
                  <c:v>0</c:v>
                </c:pt>
                <c:pt idx="38">
                  <c:v>393.45100995441476</c:v>
                </c:pt>
                <c:pt idx="39">
                  <c:v>284.46931163106137</c:v>
                </c:pt>
                <c:pt idx="40">
                  <c:v>366.21602235710282</c:v>
                </c:pt>
                <c:pt idx="41">
                  <c:v>1132.3979192318661</c:v>
                </c:pt>
                <c:pt idx="42">
                  <c:v>375.04012195179683</c:v>
                </c:pt>
                <c:pt idx="43">
                  <c:v>395.57312030931502</c:v>
                </c:pt>
                <c:pt idx="44">
                  <c:v>394.14656750474091</c:v>
                </c:pt>
                <c:pt idx="45">
                  <c:v>275.96848677570051</c:v>
                </c:pt>
                <c:pt idx="46">
                  <c:v>418.63708571875645</c:v>
                </c:pt>
                <c:pt idx="47">
                  <c:v>373.10171461386358</c:v>
                </c:pt>
                <c:pt idx="48">
                  <c:v>370.52096486727464</c:v>
                </c:pt>
              </c:numCache>
            </c:numRef>
          </c:val>
          <c:extLst>
            <c:ext xmlns:c16="http://schemas.microsoft.com/office/drawing/2014/chart" uri="{C3380CC4-5D6E-409C-BE32-E72D297353CC}">
              <c16:uniqueId val="{00000011-57B3-4998-8843-2A60CD0399EC}"/>
            </c:ext>
          </c:extLst>
        </c:ser>
        <c:dLbls>
          <c:showLegendKey val="0"/>
          <c:showVal val="0"/>
          <c:showCatName val="0"/>
          <c:showSerName val="0"/>
          <c:showPercent val="0"/>
          <c:showBubbleSize val="0"/>
        </c:dLbls>
        <c:gapWidth val="219"/>
        <c:overlap val="-27"/>
        <c:axId val="55998191"/>
        <c:axId val="55996943"/>
        <c:extLst/>
      </c:barChart>
      <c:catAx>
        <c:axId val="5599819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 generali delle emissioni specifiche delle centrali di cogenerazione (CO</a:t>
            </a:r>
            <a:r>
              <a:rPr lang="it-IT" baseline="-25000"/>
              <a:t>2</a:t>
            </a:r>
            <a:r>
              <a:rPr lang="it-IT"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pieChart>
        <c:varyColors val="1"/>
        <c:ser>
          <c:idx val="0"/>
          <c:order val="0"/>
          <c:tx>
            <c:v>Serie 1</c:v>
          </c:tx>
          <c:dPt>
            <c:idx val="0"/>
            <c:bubble3D val="0"/>
            <c:spPr>
              <a:solidFill>
                <a:srgbClr val="FF0000"/>
              </a:solidFill>
              <a:ln>
                <a:noFill/>
              </a:ln>
              <a:effectLst/>
            </c:spPr>
            <c:extLst>
              <c:ext xmlns:c16="http://schemas.microsoft.com/office/drawing/2014/chart" uri="{C3380CC4-5D6E-409C-BE32-E72D297353CC}">
                <c16:uniqueId val="{00000001-3F55-4ADC-960E-FB4BC51A6877}"/>
              </c:ext>
            </c:extLst>
          </c:dPt>
          <c:dPt>
            <c:idx val="1"/>
            <c:bubble3D val="0"/>
            <c:spPr>
              <a:solidFill>
                <a:srgbClr val="92D050"/>
              </a:solidFill>
              <a:ln>
                <a:noFill/>
              </a:ln>
              <a:effectLst/>
            </c:spPr>
            <c:extLst>
              <c:ext xmlns:c16="http://schemas.microsoft.com/office/drawing/2014/chart" uri="{C3380CC4-5D6E-409C-BE32-E72D297353CC}">
                <c16:uniqueId val="{00000003-3F55-4ADC-960E-FB4BC51A687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'Analisi dati, formula corretta'!$T$211:$U$212</c:f>
              <c:strCache>
                <c:ptCount val="2"/>
                <c:pt idx="0">
                  <c:v>Incremento emissioni specifiche</c:v>
                </c:pt>
                <c:pt idx="1">
                  <c:v>Diminuzione emissioni specifiche</c:v>
                </c:pt>
              </c:strCache>
            </c:strRef>
          </c:cat>
          <c:val>
            <c:numRef>
              <c:f>'Analisi dati, formula corretta'!$R$211:$R$212</c:f>
              <c:numCache>
                <c:formatCode>General</c:formatCode>
                <c:ptCount val="2"/>
                <c:pt idx="0">
                  <c:v>4</c:v>
                </c:pt>
                <c:pt idx="1">
                  <c:v>14</c:v>
                </c:pt>
              </c:numCache>
            </c:numRef>
          </c:val>
          <c:extLst>
            <c:ext xmlns:c16="http://schemas.microsoft.com/office/drawing/2014/chart" uri="{C3380CC4-5D6E-409C-BE32-E72D297353CC}">
              <c16:uniqueId val="{00000006-3F55-4ADC-960E-FB4BC51A6877}"/>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a:t>
            </a:r>
            <a:r>
              <a:rPr lang="it-IT" baseline="0"/>
              <a:t> delle emissioni specifiche (NOx)</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1"/>
          <c:order val="0"/>
          <c:tx>
            <c:v>2011</c:v>
          </c:tx>
          <c:spPr>
            <a:solidFill>
              <a:schemeClr val="accent2"/>
            </a:solidFill>
            <a:ln>
              <a:noFill/>
            </a:ln>
            <a:effectLst/>
          </c:spPr>
          <c:invertIfNegative val="0"/>
          <c:val>
            <c:numRef>
              <c:f>'Analisi dati, formula corretta'!$BS$4:$BS$52</c:f>
              <c:numCache>
                <c:formatCode>#,##0.000</c:formatCode>
                <c:ptCount val="49"/>
                <c:pt idx="0">
                  <c:v>0.11850084501441495</c:v>
                </c:pt>
                <c:pt idx="1">
                  <c:v>0.112</c:v>
                </c:pt>
                <c:pt idx="2">
                  <c:v>0.25605402731357868</c:v>
                </c:pt>
                <c:pt idx="3">
                  <c:v>0.14767096134786917</c:v>
                </c:pt>
                <c:pt idx="4">
                  <c:v>0.25383542538354253</c:v>
                </c:pt>
                <c:pt idx="5">
                  <c:v>0.108</c:v>
                </c:pt>
                <c:pt idx="6">
                  <c:v>0.70582329317269077</c:v>
                </c:pt>
                <c:pt idx="7">
                  <c:v>0.1291306975978386</c:v>
                </c:pt>
                <c:pt idx="8">
                  <c:v>0.46</c:v>
                </c:pt>
                <c:pt idx="9">
                  <c:v>0.19520897043832824</c:v>
                </c:pt>
                <c:pt idx="10">
                  <c:v>0.12590460251046023</c:v>
                </c:pt>
                <c:pt idx="11">
                  <c:v>1.9534184823441021</c:v>
                </c:pt>
                <c:pt idx="12">
                  <c:v>0.13168528642738292</c:v>
                </c:pt>
                <c:pt idx="13">
                  <c:v>0.70739412698364346</c:v>
                </c:pt>
                <c:pt idx="14">
                  <c:v>0.69625246548323472</c:v>
                </c:pt>
                <c:pt idx="15">
                  <c:v>8.7832973362131028E-2</c:v>
                </c:pt>
                <c:pt idx="16">
                  <c:v>0.13687782805429866</c:v>
                </c:pt>
                <c:pt idx="17">
                  <c:v>0.12678308639770111</c:v>
                </c:pt>
                <c:pt idx="18">
                  <c:v>9.1577284443335835E-2</c:v>
                </c:pt>
                <c:pt idx="19">
                  <c:v>8.549005902752442E-2</c:v>
                </c:pt>
                <c:pt idx="20">
                  <c:v>0.15220840900600324</c:v>
                </c:pt>
                <c:pt idx="21">
                  <c:v>0.21301876210869788</c:v>
                </c:pt>
                <c:pt idx="22">
                  <c:v>0.17474500484187977</c:v>
                </c:pt>
                <c:pt idx="23">
                  <c:v>0.11266795150771367</c:v>
                </c:pt>
                <c:pt idx="24">
                  <c:v>0</c:v>
                </c:pt>
                <c:pt idx="25">
                  <c:v>8.057528108884944E-2</c:v>
                </c:pt>
                <c:pt idx="26">
                  <c:v>0.14913718909718585</c:v>
                </c:pt>
                <c:pt idx="27">
                  <c:v>7.3039220645213496E-2</c:v>
                </c:pt>
                <c:pt idx="28">
                  <c:v>0.12296681847755368</c:v>
                </c:pt>
                <c:pt idx="29">
                  <c:v>0.14121795992227101</c:v>
                </c:pt>
                <c:pt idx="30">
                  <c:v>0.11075290075810201</c:v>
                </c:pt>
                <c:pt idx="31">
                  <c:v>0.10619951324638649</c:v>
                </c:pt>
                <c:pt idx="32">
                  <c:v>0.42118575992167057</c:v>
                </c:pt>
                <c:pt idx="33">
                  <c:v>0.11991184686709958</c:v>
                </c:pt>
                <c:pt idx="34">
                  <c:v>8.3093950945024433E-2</c:v>
                </c:pt>
                <c:pt idx="35">
                  <c:v>5.1379392637957273E-2</c:v>
                </c:pt>
                <c:pt idx="36">
                  <c:v>0</c:v>
                </c:pt>
                <c:pt idx="37">
                  <c:v>0.12512076963662899</c:v>
                </c:pt>
                <c:pt idx="38">
                  <c:v>0.12792581274624895</c:v>
                </c:pt>
                <c:pt idx="39">
                  <c:v>0</c:v>
                </c:pt>
                <c:pt idx="40">
                  <c:v>0.10393459928016595</c:v>
                </c:pt>
                <c:pt idx="41">
                  <c:v>0.62803449760861552</c:v>
                </c:pt>
                <c:pt idx="42">
                  <c:v>0.1280754757941964</c:v>
                </c:pt>
                <c:pt idx="43">
                  <c:v>0.1545541563935787</c:v>
                </c:pt>
                <c:pt idx="44">
                  <c:v>0</c:v>
                </c:pt>
                <c:pt idx="45">
                  <c:v>0.20972515249886622</c:v>
                </c:pt>
                <c:pt idx="46">
                  <c:v>0</c:v>
                </c:pt>
                <c:pt idx="47">
                  <c:v>0</c:v>
                </c:pt>
                <c:pt idx="48">
                  <c:v>0</c:v>
                </c:pt>
              </c:numCache>
            </c:numRef>
          </c:val>
          <c:extLst>
            <c:ext xmlns:c16="http://schemas.microsoft.com/office/drawing/2014/chart" uri="{C3380CC4-5D6E-409C-BE32-E72D297353CC}">
              <c16:uniqueId val="{00000001-1406-473D-9050-6B404FFF34E9}"/>
            </c:ext>
          </c:extLst>
        </c:ser>
        <c:ser>
          <c:idx val="0"/>
          <c:order val="1"/>
          <c:tx>
            <c:v>2012</c:v>
          </c:tx>
          <c:spPr>
            <a:solidFill>
              <a:schemeClr val="accent1"/>
            </a:solidFill>
            <a:ln>
              <a:noFill/>
            </a:ln>
            <a:effectLst/>
          </c:spPr>
          <c:invertIfNegative val="0"/>
          <c:val>
            <c:numRef>
              <c:f>'Analisi dati, formula corretta'!$BT$4:$BT$52</c:f>
              <c:numCache>
                <c:formatCode>#,##0.000</c:formatCode>
                <c:ptCount val="49"/>
                <c:pt idx="0">
                  <c:v>0.12567870296540989</c:v>
                </c:pt>
                <c:pt idx="1">
                  <c:v>0.11724137931034483</c:v>
                </c:pt>
                <c:pt idx="2">
                  <c:v>0.26332825755090772</c:v>
                </c:pt>
                <c:pt idx="3">
                  <c:v>0.14378238341968913</c:v>
                </c:pt>
                <c:pt idx="4">
                  <c:v>0.25722145804676755</c:v>
                </c:pt>
                <c:pt idx="5">
                  <c:v>8.5000000000000006E-2</c:v>
                </c:pt>
                <c:pt idx="6">
                  <c:v>0.93725868725868722</c:v>
                </c:pt>
                <c:pt idx="7">
                  <c:v>0.13276937025112237</c:v>
                </c:pt>
                <c:pt idx="8">
                  <c:v>0.45</c:v>
                </c:pt>
                <c:pt idx="9">
                  <c:v>0.20815836832633472</c:v>
                </c:pt>
                <c:pt idx="10">
                  <c:v>0.12778512820512822</c:v>
                </c:pt>
                <c:pt idx="11">
                  <c:v>1.8045197580815697</c:v>
                </c:pt>
                <c:pt idx="12">
                  <c:v>0.15059735227639651</c:v>
                </c:pt>
                <c:pt idx="13">
                  <c:v>0.73969780844229649</c:v>
                </c:pt>
                <c:pt idx="14">
                  <c:v>0.71744860305745917</c:v>
                </c:pt>
                <c:pt idx="15">
                  <c:v>8.1646423751686903E-2</c:v>
                </c:pt>
                <c:pt idx="16">
                  <c:v>0.12993421052631579</c:v>
                </c:pt>
                <c:pt idx="17">
                  <c:v>0.11474926427297222</c:v>
                </c:pt>
                <c:pt idx="18">
                  <c:v>9.2775103294037362E-2</c:v>
                </c:pt>
                <c:pt idx="19">
                  <c:v>0.10435948529998507</c:v>
                </c:pt>
                <c:pt idx="20">
                  <c:v>0.15639559912592843</c:v>
                </c:pt>
                <c:pt idx="21">
                  <c:v>0.19306871748337118</c:v>
                </c:pt>
                <c:pt idx="22">
                  <c:v>0.18076449775234846</c:v>
                </c:pt>
                <c:pt idx="23">
                  <c:v>0.11091629303584716</c:v>
                </c:pt>
                <c:pt idx="24">
                  <c:v>0</c:v>
                </c:pt>
                <c:pt idx="25">
                  <c:v>0.11888736062743262</c:v>
                </c:pt>
                <c:pt idx="26">
                  <c:v>0.17609281862049392</c:v>
                </c:pt>
                <c:pt idx="27">
                  <c:v>7.2758802684158949E-2</c:v>
                </c:pt>
                <c:pt idx="28">
                  <c:v>9.8820058997050153E-2</c:v>
                </c:pt>
                <c:pt idx="29">
                  <c:v>0.15770351113477621</c:v>
                </c:pt>
                <c:pt idx="30">
                  <c:v>0.13495953848878772</c:v>
                </c:pt>
                <c:pt idx="31">
                  <c:v>9.9015047130642686E-2</c:v>
                </c:pt>
                <c:pt idx="32">
                  <c:v>0.44465831535265421</c:v>
                </c:pt>
                <c:pt idx="33">
                  <c:v>0.11956164972723361</c:v>
                </c:pt>
                <c:pt idx="34">
                  <c:v>8.270956732587284E-2</c:v>
                </c:pt>
                <c:pt idx="35">
                  <c:v>5.6414754221189911E-2</c:v>
                </c:pt>
                <c:pt idx="36">
                  <c:v>0</c:v>
                </c:pt>
                <c:pt idx="37">
                  <c:v>0.11718227678842766</c:v>
                </c:pt>
                <c:pt idx="38">
                  <c:v>0.11784313211536614</c:v>
                </c:pt>
                <c:pt idx="39">
                  <c:v>2.9166666666666664E-2</c:v>
                </c:pt>
                <c:pt idx="40">
                  <c:v>8.4390581412174856E-2</c:v>
                </c:pt>
                <c:pt idx="41">
                  <c:v>0.54393700292022085</c:v>
                </c:pt>
                <c:pt idx="42">
                  <c:v>0.13032801658105794</c:v>
                </c:pt>
                <c:pt idx="43">
                  <c:v>0.14955141491406718</c:v>
                </c:pt>
                <c:pt idx="44">
                  <c:v>0</c:v>
                </c:pt>
                <c:pt idx="45">
                  <c:v>0.20372804764426275</c:v>
                </c:pt>
                <c:pt idx="46">
                  <c:v>0</c:v>
                </c:pt>
                <c:pt idx="47">
                  <c:v>0.111</c:v>
                </c:pt>
                <c:pt idx="48">
                  <c:v>0.13204446727824834</c:v>
                </c:pt>
              </c:numCache>
            </c:numRef>
          </c:val>
          <c:extLst>
            <c:ext xmlns:c16="http://schemas.microsoft.com/office/drawing/2014/chart" uri="{C3380CC4-5D6E-409C-BE32-E72D297353CC}">
              <c16:uniqueId val="{00000002-1406-473D-9050-6B404FFF34E9}"/>
            </c:ext>
          </c:extLst>
        </c:ser>
        <c:ser>
          <c:idx val="2"/>
          <c:order val="2"/>
          <c:tx>
            <c:v>2013</c:v>
          </c:tx>
          <c:spPr>
            <a:solidFill>
              <a:schemeClr val="accent3"/>
            </a:solidFill>
            <a:ln>
              <a:noFill/>
            </a:ln>
            <a:effectLst/>
          </c:spPr>
          <c:invertIfNegative val="0"/>
          <c:val>
            <c:numRef>
              <c:f>'Analisi dati, formula corretta'!$BU$4:$BU$52</c:f>
              <c:numCache>
                <c:formatCode>#,##0.000</c:formatCode>
                <c:ptCount val="49"/>
                <c:pt idx="0">
                  <c:v>0.13744699517473316</c:v>
                </c:pt>
                <c:pt idx="1">
                  <c:v>0.13381995133819952</c:v>
                </c:pt>
                <c:pt idx="2">
                  <c:v>0.25544686099629266</c:v>
                </c:pt>
                <c:pt idx="3">
                  <c:v>0.13787366046249294</c:v>
                </c:pt>
                <c:pt idx="4">
                  <c:v>0.23324022346368714</c:v>
                </c:pt>
                <c:pt idx="5">
                  <c:v>9.7532174892750359E-2</c:v>
                </c:pt>
                <c:pt idx="6">
                  <c:v>0.81496062992125984</c:v>
                </c:pt>
                <c:pt idx="7">
                  <c:v>0.13990765230201521</c:v>
                </c:pt>
                <c:pt idx="8">
                  <c:v>0.48</c:v>
                </c:pt>
                <c:pt idx="9">
                  <c:v>0.15676959619952494</c:v>
                </c:pt>
                <c:pt idx="10">
                  <c:v>0</c:v>
                </c:pt>
                <c:pt idx="11">
                  <c:v>0.34637657628402879</c:v>
                </c:pt>
                <c:pt idx="12">
                  <c:v>0.14591920857378401</c:v>
                </c:pt>
                <c:pt idx="13">
                  <c:v>0.7531785791377148</c:v>
                </c:pt>
                <c:pt idx="14">
                  <c:v>0.43889049407685637</c:v>
                </c:pt>
                <c:pt idx="15">
                  <c:v>8.012651555086979E-2</c:v>
                </c:pt>
                <c:pt idx="16">
                  <c:v>0.14903846153846154</c:v>
                </c:pt>
                <c:pt idx="17">
                  <c:v>0.10074875337832538</c:v>
                </c:pt>
                <c:pt idx="18">
                  <c:v>9.9290658035191631E-2</c:v>
                </c:pt>
                <c:pt idx="19">
                  <c:v>0.10263989843197101</c:v>
                </c:pt>
                <c:pt idx="20">
                  <c:v>0.11150898354064581</c:v>
                </c:pt>
                <c:pt idx="21">
                  <c:v>0.1922510015694697</c:v>
                </c:pt>
                <c:pt idx="22">
                  <c:v>0.15213625494164304</c:v>
                </c:pt>
                <c:pt idx="23">
                  <c:v>0.12109112174183918</c:v>
                </c:pt>
                <c:pt idx="24">
                  <c:v>4.5883063194065835E-2</c:v>
                </c:pt>
                <c:pt idx="25">
                  <c:v>0.17310711695289926</c:v>
                </c:pt>
                <c:pt idx="26">
                  <c:v>0.10377827031274324</c:v>
                </c:pt>
                <c:pt idx="27">
                  <c:v>7.507101718225441E-2</c:v>
                </c:pt>
                <c:pt idx="28">
                  <c:v>9.1034482758620694E-2</c:v>
                </c:pt>
                <c:pt idx="29">
                  <c:v>0.15175634086808873</c:v>
                </c:pt>
                <c:pt idx="30">
                  <c:v>0.10617068659165481</c:v>
                </c:pt>
                <c:pt idx="31">
                  <c:v>0.11690331208296353</c:v>
                </c:pt>
                <c:pt idx="32">
                  <c:v>0.43906053966178366</c:v>
                </c:pt>
                <c:pt idx="33">
                  <c:v>0.12136561871713346</c:v>
                </c:pt>
                <c:pt idx="34">
                  <c:v>8.1022654865906041E-2</c:v>
                </c:pt>
                <c:pt idx="35">
                  <c:v>5.8510702820572649E-2</c:v>
                </c:pt>
                <c:pt idx="36">
                  <c:v>0</c:v>
                </c:pt>
                <c:pt idx="37">
                  <c:v>0.15679410409949332</c:v>
                </c:pt>
                <c:pt idx="38">
                  <c:v>0.15173155020810339</c:v>
                </c:pt>
                <c:pt idx="39">
                  <c:v>3.1110173068805404E-2</c:v>
                </c:pt>
                <c:pt idx="40">
                  <c:v>7.9528723253734793E-2</c:v>
                </c:pt>
                <c:pt idx="41">
                  <c:v>0.52174694865817961</c:v>
                </c:pt>
                <c:pt idx="42">
                  <c:v>0.13547267262181956</c:v>
                </c:pt>
                <c:pt idx="43">
                  <c:v>0.14703525756358846</c:v>
                </c:pt>
                <c:pt idx="44">
                  <c:v>0.11515337423312882</c:v>
                </c:pt>
                <c:pt idx="45">
                  <c:v>0.16649627048354118</c:v>
                </c:pt>
                <c:pt idx="46">
                  <c:v>0.10775081492212966</c:v>
                </c:pt>
                <c:pt idx="47">
                  <c:v>0.11</c:v>
                </c:pt>
                <c:pt idx="48">
                  <c:v>0.13101932366793309</c:v>
                </c:pt>
              </c:numCache>
            </c:numRef>
          </c:val>
          <c:extLst>
            <c:ext xmlns:c16="http://schemas.microsoft.com/office/drawing/2014/chart" uri="{C3380CC4-5D6E-409C-BE32-E72D297353CC}">
              <c16:uniqueId val="{00000003-1406-473D-9050-6B404FFF34E9}"/>
            </c:ext>
          </c:extLst>
        </c:ser>
        <c:ser>
          <c:idx val="3"/>
          <c:order val="3"/>
          <c:tx>
            <c:v>2014</c:v>
          </c:tx>
          <c:spPr>
            <a:solidFill>
              <a:schemeClr val="accent4"/>
            </a:solidFill>
            <a:ln>
              <a:noFill/>
            </a:ln>
            <a:effectLst/>
          </c:spPr>
          <c:invertIfNegative val="0"/>
          <c:val>
            <c:numRef>
              <c:f>'Analisi dati, formula corretta'!$BV$4:$BV$52</c:f>
              <c:numCache>
                <c:formatCode>#,##0.000</c:formatCode>
                <c:ptCount val="49"/>
                <c:pt idx="0">
                  <c:v>0.1280737704918033</c:v>
                </c:pt>
                <c:pt idx="1">
                  <c:v>0.1504297994269341</c:v>
                </c:pt>
                <c:pt idx="2">
                  <c:v>0.26325674558233075</c:v>
                </c:pt>
                <c:pt idx="3">
                  <c:v>0.15240585774058577</c:v>
                </c:pt>
                <c:pt idx="4">
                  <c:v>0.24714828897338403</c:v>
                </c:pt>
                <c:pt idx="5">
                  <c:v>8.3000000000000004E-2</c:v>
                </c:pt>
                <c:pt idx="6">
                  <c:v>0.68321078431372551</c:v>
                </c:pt>
                <c:pt idx="7">
                  <c:v>0.13079026731126719</c:v>
                </c:pt>
                <c:pt idx="8">
                  <c:v>0.48</c:v>
                </c:pt>
                <c:pt idx="9">
                  <c:v>0.13050314465408805</c:v>
                </c:pt>
                <c:pt idx="10">
                  <c:v>0</c:v>
                </c:pt>
                <c:pt idx="11">
                  <c:v>0.22571393436445064</c:v>
                </c:pt>
                <c:pt idx="12">
                  <c:v>0.14976430976430977</c:v>
                </c:pt>
                <c:pt idx="13">
                  <c:v>0.69607395839024555</c:v>
                </c:pt>
                <c:pt idx="14">
                  <c:v>0.76365348399246702</c:v>
                </c:pt>
                <c:pt idx="15">
                  <c:v>0.10709117221418236</c:v>
                </c:pt>
                <c:pt idx="16">
                  <c:v>0.16862745098039214</c:v>
                </c:pt>
                <c:pt idx="17">
                  <c:v>9.7574461355037292E-2</c:v>
                </c:pt>
                <c:pt idx="18">
                  <c:v>7.6758460127460418E-2</c:v>
                </c:pt>
                <c:pt idx="19">
                  <c:v>5.5803466067324344E-2</c:v>
                </c:pt>
                <c:pt idx="20">
                  <c:v>0.10410079291725448</c:v>
                </c:pt>
                <c:pt idx="21">
                  <c:v>0.1867567971317598</c:v>
                </c:pt>
                <c:pt idx="22">
                  <c:v>0.17652298791452592</c:v>
                </c:pt>
                <c:pt idx="23">
                  <c:v>0.12258654513307544</c:v>
                </c:pt>
                <c:pt idx="24">
                  <c:v>0</c:v>
                </c:pt>
                <c:pt idx="25">
                  <c:v>0.14807371076046663</c:v>
                </c:pt>
                <c:pt idx="26">
                  <c:v>0.12405725330671957</c:v>
                </c:pt>
                <c:pt idx="27">
                  <c:v>7.1959952721963427E-2</c:v>
                </c:pt>
                <c:pt idx="28">
                  <c:v>8.4925690021231418E-2</c:v>
                </c:pt>
                <c:pt idx="29">
                  <c:v>0.17617608161723031</c:v>
                </c:pt>
                <c:pt idx="30">
                  <c:v>9.8235967440086849E-2</c:v>
                </c:pt>
                <c:pt idx="31">
                  <c:v>0.10542972942957816</c:v>
                </c:pt>
                <c:pt idx="32">
                  <c:v>0.61694644311563263</c:v>
                </c:pt>
                <c:pt idx="33">
                  <c:v>6.4481969115861376E-2</c:v>
                </c:pt>
                <c:pt idx="34">
                  <c:v>8.2837662459336797E-2</c:v>
                </c:pt>
                <c:pt idx="35">
                  <c:v>6.5568455232876355E-2</c:v>
                </c:pt>
                <c:pt idx="36">
                  <c:v>0</c:v>
                </c:pt>
                <c:pt idx="37">
                  <c:v>0.23438829334694572</c:v>
                </c:pt>
                <c:pt idx="38">
                  <c:v>0.15618515039646999</c:v>
                </c:pt>
                <c:pt idx="39">
                  <c:v>4.09606404269513E-2</c:v>
                </c:pt>
                <c:pt idx="40">
                  <c:v>8.7678631621030526E-2</c:v>
                </c:pt>
                <c:pt idx="41">
                  <c:v>0.48656319040916685</c:v>
                </c:pt>
                <c:pt idx="42">
                  <c:v>0.13183483334087107</c:v>
                </c:pt>
                <c:pt idx="43">
                  <c:v>0.14356470678878383</c:v>
                </c:pt>
                <c:pt idx="44">
                  <c:v>0.12464393939393939</c:v>
                </c:pt>
                <c:pt idx="45">
                  <c:v>0.17470883324349143</c:v>
                </c:pt>
                <c:pt idx="46">
                  <c:v>0.15484239420791804</c:v>
                </c:pt>
                <c:pt idx="47">
                  <c:v>0.107</c:v>
                </c:pt>
                <c:pt idx="48">
                  <c:v>0.1012895754720697</c:v>
                </c:pt>
              </c:numCache>
            </c:numRef>
          </c:val>
          <c:extLst>
            <c:ext xmlns:c16="http://schemas.microsoft.com/office/drawing/2014/chart" uri="{C3380CC4-5D6E-409C-BE32-E72D297353CC}">
              <c16:uniqueId val="{00000004-1406-473D-9050-6B404FFF34E9}"/>
            </c:ext>
          </c:extLst>
        </c:ser>
        <c:ser>
          <c:idx val="4"/>
          <c:order val="4"/>
          <c:tx>
            <c:v>2015</c:v>
          </c:tx>
          <c:spPr>
            <a:solidFill>
              <a:schemeClr val="accent5"/>
            </a:solidFill>
            <a:ln>
              <a:noFill/>
            </a:ln>
            <a:effectLst/>
          </c:spPr>
          <c:invertIfNegative val="0"/>
          <c:val>
            <c:numRef>
              <c:f>'Analisi dati, formula corretta'!$BW$4:$BW$52</c:f>
              <c:numCache>
                <c:formatCode>#,##0.000</c:formatCode>
                <c:ptCount val="49"/>
                <c:pt idx="0">
                  <c:v>0.13492598912655263</c:v>
                </c:pt>
                <c:pt idx="1">
                  <c:v>0.14355628058727568</c:v>
                </c:pt>
                <c:pt idx="2">
                  <c:v>0.2494432932246736</c:v>
                </c:pt>
                <c:pt idx="3">
                  <c:v>0.14328358208955225</c:v>
                </c:pt>
                <c:pt idx="4">
                  <c:v>0.23076923076923078</c:v>
                </c:pt>
                <c:pt idx="5">
                  <c:v>8.8999999999999996E-2</c:v>
                </c:pt>
                <c:pt idx="6">
                  <c:v>0.64369616288175413</c:v>
                </c:pt>
                <c:pt idx="7">
                  <c:v>0.12175080227742363</c:v>
                </c:pt>
                <c:pt idx="8">
                  <c:v>0.53</c:v>
                </c:pt>
                <c:pt idx="9">
                  <c:v>0.13140726933830382</c:v>
                </c:pt>
                <c:pt idx="10">
                  <c:v>0.12135703837065376</c:v>
                </c:pt>
                <c:pt idx="11">
                  <c:v>0.21779650715182949</c:v>
                </c:pt>
                <c:pt idx="12">
                  <c:v>0.15017513134851138</c:v>
                </c:pt>
                <c:pt idx="13">
                  <c:v>0.63259514741365908</c:v>
                </c:pt>
                <c:pt idx="14">
                  <c:v>0.69443245576176094</c:v>
                </c:pt>
                <c:pt idx="15">
                  <c:v>0.13391877058177826</c:v>
                </c:pt>
                <c:pt idx="16">
                  <c:v>0.13231552162849872</c:v>
                </c:pt>
                <c:pt idx="17">
                  <c:v>7.6960263978328974E-2</c:v>
                </c:pt>
                <c:pt idx="18">
                  <c:v>5.3572482152339368E-2</c:v>
                </c:pt>
                <c:pt idx="19">
                  <c:v>0.11474710125900854</c:v>
                </c:pt>
                <c:pt idx="20">
                  <c:v>0.11180054782268434</c:v>
                </c:pt>
                <c:pt idx="21">
                  <c:v>0.18212558883378241</c:v>
                </c:pt>
                <c:pt idx="22">
                  <c:v>0.18716810403097756</c:v>
                </c:pt>
                <c:pt idx="23">
                  <c:v>0.14625855462196516</c:v>
                </c:pt>
                <c:pt idx="24">
                  <c:v>0</c:v>
                </c:pt>
                <c:pt idx="25">
                  <c:v>9.6283579685045709E-2</c:v>
                </c:pt>
                <c:pt idx="26">
                  <c:v>0.18528916339135318</c:v>
                </c:pt>
                <c:pt idx="27">
                  <c:v>7.5011810370143386E-2</c:v>
                </c:pt>
                <c:pt idx="28">
                  <c:v>8.3687943262411343E-2</c:v>
                </c:pt>
                <c:pt idx="29">
                  <c:v>0.17886444845442512</c:v>
                </c:pt>
                <c:pt idx="30">
                  <c:v>9.5812353200687136E-2</c:v>
                </c:pt>
                <c:pt idx="31">
                  <c:v>9.8473181300263321E-2</c:v>
                </c:pt>
                <c:pt idx="32">
                  <c:v>0.5511648652396659</c:v>
                </c:pt>
                <c:pt idx="33">
                  <c:v>7.8691573742052601E-2</c:v>
                </c:pt>
                <c:pt idx="34">
                  <c:v>8.0070611332014652E-2</c:v>
                </c:pt>
                <c:pt idx="35">
                  <c:v>6.711451889653601E-2</c:v>
                </c:pt>
                <c:pt idx="36">
                  <c:v>0.46589997734111338</c:v>
                </c:pt>
                <c:pt idx="37">
                  <c:v>0.17899472691209908</c:v>
                </c:pt>
                <c:pt idx="38">
                  <c:v>0.10949726916823385</c:v>
                </c:pt>
                <c:pt idx="39">
                  <c:v>3.5286972365624052E-2</c:v>
                </c:pt>
                <c:pt idx="40">
                  <c:v>9.384400640950899E-2</c:v>
                </c:pt>
                <c:pt idx="41">
                  <c:v>0.47668893364959875</c:v>
                </c:pt>
                <c:pt idx="42">
                  <c:v>0.13173175595064285</c:v>
                </c:pt>
                <c:pt idx="43">
                  <c:v>0.133475624364124</c:v>
                </c:pt>
                <c:pt idx="44">
                  <c:v>0.11548431824689907</c:v>
                </c:pt>
                <c:pt idx="45">
                  <c:v>0.16642533426105272</c:v>
                </c:pt>
                <c:pt idx="46">
                  <c:v>0.16388311310841325</c:v>
                </c:pt>
                <c:pt idx="47">
                  <c:v>0.10391901931649332</c:v>
                </c:pt>
                <c:pt idx="48">
                  <c:v>9.384400640950899E-2</c:v>
                </c:pt>
              </c:numCache>
            </c:numRef>
          </c:val>
          <c:extLst>
            <c:ext xmlns:c16="http://schemas.microsoft.com/office/drawing/2014/chart" uri="{C3380CC4-5D6E-409C-BE32-E72D297353CC}">
              <c16:uniqueId val="{00000005-1406-473D-9050-6B404FFF34E9}"/>
            </c:ext>
          </c:extLst>
        </c:ser>
        <c:ser>
          <c:idx val="5"/>
          <c:order val="5"/>
          <c:tx>
            <c:v>2016</c:v>
          </c:tx>
          <c:spPr>
            <a:solidFill>
              <a:schemeClr val="accent6"/>
            </a:solidFill>
            <a:ln>
              <a:noFill/>
            </a:ln>
            <a:effectLst/>
          </c:spPr>
          <c:invertIfNegative val="0"/>
          <c:val>
            <c:numRef>
              <c:f>'Analisi dati, formula corretta'!$BX$4:$BX$52</c:f>
              <c:numCache>
                <c:formatCode>#,##0.000</c:formatCode>
                <c:ptCount val="49"/>
                <c:pt idx="0">
                  <c:v>0.13309882587821459</c:v>
                </c:pt>
                <c:pt idx="1">
                  <c:v>0.12882653061224489</c:v>
                </c:pt>
                <c:pt idx="2">
                  <c:v>0.23720076882753802</c:v>
                </c:pt>
                <c:pt idx="3">
                  <c:v>0.14646239554317547</c:v>
                </c:pt>
                <c:pt idx="4">
                  <c:v>0.27685774946921443</c:v>
                </c:pt>
                <c:pt idx="5">
                  <c:v>9.4985223255645457E-2</c:v>
                </c:pt>
                <c:pt idx="6">
                  <c:v>0.70064724919093846</c:v>
                </c:pt>
                <c:pt idx="7">
                  <c:v>0.12576419230170124</c:v>
                </c:pt>
                <c:pt idx="8">
                  <c:v>0.55000000000000004</c:v>
                </c:pt>
                <c:pt idx="9">
                  <c:v>0.13324873096446702</c:v>
                </c:pt>
                <c:pt idx="10">
                  <c:v>0.12967381208224818</c:v>
                </c:pt>
                <c:pt idx="11">
                  <c:v>0.23121026073643594</c:v>
                </c:pt>
                <c:pt idx="12">
                  <c:v>0.15061074918566775</c:v>
                </c:pt>
                <c:pt idx="13">
                  <c:v>0.54272885779079438</c:v>
                </c:pt>
                <c:pt idx="14">
                  <c:v>0.65892420537897312</c:v>
                </c:pt>
                <c:pt idx="15">
                  <c:v>8.4133942729223032E-2</c:v>
                </c:pt>
                <c:pt idx="16">
                  <c:v>0.16764705882352943</c:v>
                </c:pt>
                <c:pt idx="17">
                  <c:v>7.2768911091849686E-2</c:v>
                </c:pt>
                <c:pt idx="18">
                  <c:v>5.2355514732542116E-2</c:v>
                </c:pt>
                <c:pt idx="19">
                  <c:v>0.11387521878703682</c:v>
                </c:pt>
                <c:pt idx="20">
                  <c:v>0.1128771573987606</c:v>
                </c:pt>
                <c:pt idx="21">
                  <c:v>0.17887701265684372</c:v>
                </c:pt>
                <c:pt idx="22">
                  <c:v>0.20763416481937935</c:v>
                </c:pt>
                <c:pt idx="23">
                  <c:v>0.13199361629480438</c:v>
                </c:pt>
                <c:pt idx="24">
                  <c:v>2.860032747792467E-2</c:v>
                </c:pt>
                <c:pt idx="25">
                  <c:v>0.12654668166479188</c:v>
                </c:pt>
                <c:pt idx="26">
                  <c:v>0.12687949679031493</c:v>
                </c:pt>
                <c:pt idx="27">
                  <c:v>7.8432381001362919E-2</c:v>
                </c:pt>
                <c:pt idx="28">
                  <c:v>8.2666666666666666E-2</c:v>
                </c:pt>
                <c:pt idx="29">
                  <c:v>0.13599020787519189</c:v>
                </c:pt>
                <c:pt idx="30">
                  <c:v>0.10358413315838037</c:v>
                </c:pt>
                <c:pt idx="31">
                  <c:v>0.10074790287441253</c:v>
                </c:pt>
                <c:pt idx="32">
                  <c:v>0.46702858373157219</c:v>
                </c:pt>
                <c:pt idx="33">
                  <c:v>7.185718540611806E-2</c:v>
                </c:pt>
                <c:pt idx="34">
                  <c:v>7.1990787691623204E-2</c:v>
                </c:pt>
                <c:pt idx="35">
                  <c:v>7.8293436789735396E-2</c:v>
                </c:pt>
                <c:pt idx="36">
                  <c:v>0.29877751348065978</c:v>
                </c:pt>
                <c:pt idx="37">
                  <c:v>9.8239136475164718E-2</c:v>
                </c:pt>
                <c:pt idx="38">
                  <c:v>8.8641689888108929E-2</c:v>
                </c:pt>
                <c:pt idx="39">
                  <c:v>3.4711265383401704E-2</c:v>
                </c:pt>
                <c:pt idx="40">
                  <c:v>9.914116611184616E-2</c:v>
                </c:pt>
                <c:pt idx="41">
                  <c:v>0.49381530495034143</c:v>
                </c:pt>
                <c:pt idx="42">
                  <c:v>0.11767436877254384</c:v>
                </c:pt>
                <c:pt idx="43">
                  <c:v>0.13314296492042857</c:v>
                </c:pt>
                <c:pt idx="44">
                  <c:v>0.1066530600515715</c:v>
                </c:pt>
                <c:pt idx="45">
                  <c:v>0.13671329096234006</c:v>
                </c:pt>
                <c:pt idx="46">
                  <c:v>0.12652147099873415</c:v>
                </c:pt>
                <c:pt idx="47">
                  <c:v>0.10354311505430008</c:v>
                </c:pt>
                <c:pt idx="48">
                  <c:v>9.914116611184616E-2</c:v>
                </c:pt>
              </c:numCache>
            </c:numRef>
          </c:val>
          <c:extLst>
            <c:ext xmlns:c16="http://schemas.microsoft.com/office/drawing/2014/chart" uri="{C3380CC4-5D6E-409C-BE32-E72D297353CC}">
              <c16:uniqueId val="{00000006-1406-473D-9050-6B404FFF34E9}"/>
            </c:ext>
          </c:extLst>
        </c:ser>
        <c:ser>
          <c:idx val="6"/>
          <c:order val="6"/>
          <c:tx>
            <c:v>2017</c:v>
          </c:tx>
          <c:spPr>
            <a:solidFill>
              <a:schemeClr val="accent1">
                <a:lumMod val="60000"/>
              </a:schemeClr>
            </a:solidFill>
            <a:ln>
              <a:noFill/>
            </a:ln>
            <a:effectLst/>
          </c:spPr>
          <c:invertIfNegative val="0"/>
          <c:val>
            <c:numRef>
              <c:f>'Analisi dati, formula corretta'!$BY$4:$BY$52</c:f>
              <c:numCache>
                <c:formatCode>#,##0.000</c:formatCode>
                <c:ptCount val="49"/>
                <c:pt idx="0">
                  <c:v>0.13</c:v>
                </c:pt>
                <c:pt idx="1">
                  <c:v>0.11203688202645101</c:v>
                </c:pt>
                <c:pt idx="2">
                  <c:v>0.22786069651741295</c:v>
                </c:pt>
                <c:pt idx="3">
                  <c:v>0.14107485604606526</c:v>
                </c:pt>
                <c:pt idx="4">
                  <c:v>0.24</c:v>
                </c:pt>
                <c:pt idx="5">
                  <c:v>0.11085626911314984</c:v>
                </c:pt>
                <c:pt idx="6">
                  <c:v>0.54001684919966297</c:v>
                </c:pt>
                <c:pt idx="7">
                  <c:v>0.12602966445451047</c:v>
                </c:pt>
                <c:pt idx="8">
                  <c:v>0.44111405835543765</c:v>
                </c:pt>
                <c:pt idx="9">
                  <c:v>0.13335995443094467</c:v>
                </c:pt>
                <c:pt idx="10">
                  <c:v>0.11954801449501502</c:v>
                </c:pt>
                <c:pt idx="11">
                  <c:v>0.24331107235526819</c:v>
                </c:pt>
                <c:pt idx="12">
                  <c:v>0.14997307485191169</c:v>
                </c:pt>
                <c:pt idx="13">
                  <c:v>0.46144035669992317</c:v>
                </c:pt>
                <c:pt idx="14">
                  <c:v>0.63702664796633945</c:v>
                </c:pt>
                <c:pt idx="15">
                  <c:v>0.10128346951723792</c:v>
                </c:pt>
                <c:pt idx="16">
                  <c:v>0.12967381981538253</c:v>
                </c:pt>
                <c:pt idx="17">
                  <c:v>7.6854081475723077E-2</c:v>
                </c:pt>
                <c:pt idx="18">
                  <c:v>5.1099112996529118E-2</c:v>
                </c:pt>
                <c:pt idx="19">
                  <c:v>0.11809505381610987</c:v>
                </c:pt>
                <c:pt idx="20">
                  <c:v>0.10695837095541613</c:v>
                </c:pt>
                <c:pt idx="21">
                  <c:v>0.11201528551913931</c:v>
                </c:pt>
                <c:pt idx="22">
                  <c:v>0.14283149936401382</c:v>
                </c:pt>
                <c:pt idx="23">
                  <c:v>7.7934969420779099E-2</c:v>
                </c:pt>
                <c:pt idx="24">
                  <c:v>0</c:v>
                </c:pt>
                <c:pt idx="25">
                  <c:v>0.1126475663390922</c:v>
                </c:pt>
                <c:pt idx="26">
                  <c:v>0.14227326814630864</c:v>
                </c:pt>
                <c:pt idx="27">
                  <c:v>6.9951675051152157E-2</c:v>
                </c:pt>
                <c:pt idx="28">
                  <c:v>6.8077276908923637E-2</c:v>
                </c:pt>
                <c:pt idx="29">
                  <c:v>0.18866719872306467</c:v>
                </c:pt>
                <c:pt idx="30">
                  <c:v>0.10264039451838662</c:v>
                </c:pt>
                <c:pt idx="31">
                  <c:v>8.8471830158888945E-2</c:v>
                </c:pt>
                <c:pt idx="32">
                  <c:v>0.53305862573861729</c:v>
                </c:pt>
                <c:pt idx="33">
                  <c:v>0.10758434347977149</c:v>
                </c:pt>
                <c:pt idx="34">
                  <c:v>9.9510253254065942E-2</c:v>
                </c:pt>
                <c:pt idx="35">
                  <c:v>7.0268262523332112E-2</c:v>
                </c:pt>
                <c:pt idx="36">
                  <c:v>0.35197430394059542</c:v>
                </c:pt>
                <c:pt idx="37">
                  <c:v>8.4235026122267062E-2</c:v>
                </c:pt>
                <c:pt idx="38">
                  <c:v>8.3000075454614047E-2</c:v>
                </c:pt>
                <c:pt idx="39">
                  <c:v>3.2432432432432434E-2</c:v>
                </c:pt>
                <c:pt idx="40">
                  <c:v>0.10668385994719166</c:v>
                </c:pt>
                <c:pt idx="41">
                  <c:v>0.49587455115442858</c:v>
                </c:pt>
                <c:pt idx="42">
                  <c:v>0.10257111285784264</c:v>
                </c:pt>
                <c:pt idx="43">
                  <c:v>0.1339127147953327</c:v>
                </c:pt>
                <c:pt idx="44">
                  <c:v>0.10287612246861048</c:v>
                </c:pt>
                <c:pt idx="45">
                  <c:v>0.12057058255095436</c:v>
                </c:pt>
                <c:pt idx="46">
                  <c:v>0.15297073603310671</c:v>
                </c:pt>
                <c:pt idx="47">
                  <c:v>0.11134114992202927</c:v>
                </c:pt>
                <c:pt idx="48">
                  <c:v>9.8492300032380603E-2</c:v>
                </c:pt>
              </c:numCache>
            </c:numRef>
          </c:val>
          <c:extLst>
            <c:ext xmlns:c16="http://schemas.microsoft.com/office/drawing/2014/chart" uri="{C3380CC4-5D6E-409C-BE32-E72D297353CC}">
              <c16:uniqueId val="{00000007-1406-473D-9050-6B404FFF34E9}"/>
            </c:ext>
          </c:extLst>
        </c:ser>
        <c:ser>
          <c:idx val="7"/>
          <c:order val="7"/>
          <c:tx>
            <c:v>2018</c:v>
          </c:tx>
          <c:spPr>
            <a:solidFill>
              <a:schemeClr val="accent2">
                <a:lumMod val="60000"/>
              </a:schemeClr>
            </a:solidFill>
            <a:ln>
              <a:noFill/>
            </a:ln>
            <a:effectLst/>
          </c:spPr>
          <c:invertIfNegative val="0"/>
          <c:val>
            <c:numRef>
              <c:f>'Analisi dati, formula corretta'!$BZ$4:$BZ$52</c:f>
              <c:numCache>
                <c:formatCode>#,##0.000</c:formatCode>
                <c:ptCount val="49"/>
                <c:pt idx="0">
                  <c:v>0.14000000000000001</c:v>
                </c:pt>
                <c:pt idx="1">
                  <c:v>0.11320267731878704</c:v>
                </c:pt>
                <c:pt idx="2">
                  <c:v>0.23944954128440368</c:v>
                </c:pt>
                <c:pt idx="3">
                  <c:v>0.14004335707649426</c:v>
                </c:pt>
                <c:pt idx="4">
                  <c:v>0.18</c:v>
                </c:pt>
                <c:pt idx="5">
                  <c:v>0.12256973795435334</c:v>
                </c:pt>
                <c:pt idx="6">
                  <c:v>0.62329390354868064</c:v>
                </c:pt>
                <c:pt idx="7">
                  <c:v>0.12142796319742924</c:v>
                </c:pt>
                <c:pt idx="8">
                  <c:v>0.33259361997226072</c:v>
                </c:pt>
                <c:pt idx="9">
                  <c:v>0.12850709767080887</c:v>
                </c:pt>
                <c:pt idx="10">
                  <c:v>0.12790227747417815</c:v>
                </c:pt>
                <c:pt idx="11">
                  <c:v>0.27912275704927375</c:v>
                </c:pt>
                <c:pt idx="12">
                  <c:v>0.1489841986455982</c:v>
                </c:pt>
                <c:pt idx="13">
                  <c:v>0.50170601190771991</c:v>
                </c:pt>
                <c:pt idx="14">
                  <c:v>0.63715983734751325</c:v>
                </c:pt>
                <c:pt idx="15">
                  <c:v>9.6737284884632457E-2</c:v>
                </c:pt>
                <c:pt idx="16">
                  <c:v>0.11621661845877092</c:v>
                </c:pt>
                <c:pt idx="17">
                  <c:v>8.5470402078074131E-2</c:v>
                </c:pt>
                <c:pt idx="18">
                  <c:v>6.6463281760732185E-2</c:v>
                </c:pt>
                <c:pt idx="19">
                  <c:v>0.11564159233738687</c:v>
                </c:pt>
                <c:pt idx="20">
                  <c:v>0.10496780328645439</c:v>
                </c:pt>
                <c:pt idx="21">
                  <c:v>0.11596454119949873</c:v>
                </c:pt>
                <c:pt idx="22">
                  <c:v>0.20601125287881292</c:v>
                </c:pt>
                <c:pt idx="23">
                  <c:v>0.11310988851889388</c:v>
                </c:pt>
                <c:pt idx="24">
                  <c:v>0</c:v>
                </c:pt>
                <c:pt idx="25">
                  <c:v>0.1429913321677021</c:v>
                </c:pt>
                <c:pt idx="26">
                  <c:v>0.13391903122402946</c:v>
                </c:pt>
                <c:pt idx="27">
                  <c:v>7.0254085609621472E-2</c:v>
                </c:pt>
                <c:pt idx="28">
                  <c:v>5.5964653902798235E-2</c:v>
                </c:pt>
                <c:pt idx="29">
                  <c:v>0.12132685324395738</c:v>
                </c:pt>
                <c:pt idx="30">
                  <c:v>0.11138538974390004</c:v>
                </c:pt>
                <c:pt idx="31">
                  <c:v>0.10020672237465701</c:v>
                </c:pt>
                <c:pt idx="32">
                  <c:v>0.58890947753009992</c:v>
                </c:pt>
                <c:pt idx="33">
                  <c:v>6.6531087099981831E-2</c:v>
                </c:pt>
                <c:pt idx="34">
                  <c:v>0.10536767324372122</c:v>
                </c:pt>
                <c:pt idx="35">
                  <c:v>6.9511248640543338E-2</c:v>
                </c:pt>
                <c:pt idx="36">
                  <c:v>0.35339298561151072</c:v>
                </c:pt>
                <c:pt idx="37">
                  <c:v>7.2909296264881809E-2</c:v>
                </c:pt>
                <c:pt idx="38">
                  <c:v>7.5841957674030708E-2</c:v>
                </c:pt>
                <c:pt idx="39">
                  <c:v>3.2007759456838022E-2</c:v>
                </c:pt>
                <c:pt idx="40">
                  <c:v>0.12457472245783736</c:v>
                </c:pt>
                <c:pt idx="41">
                  <c:v>0.48225231760101395</c:v>
                </c:pt>
                <c:pt idx="42">
                  <c:v>8.7738283526179961E-2</c:v>
                </c:pt>
                <c:pt idx="43">
                  <c:v>0.13444772478412131</c:v>
                </c:pt>
                <c:pt idx="44">
                  <c:v>9.9770402039054629E-2</c:v>
                </c:pt>
                <c:pt idx="45">
                  <c:v>0.10544261086537371</c:v>
                </c:pt>
                <c:pt idx="46">
                  <c:v>0.13850043545150759</c:v>
                </c:pt>
                <c:pt idx="47">
                  <c:v>0.11301736952131661</c:v>
                </c:pt>
                <c:pt idx="48">
                  <c:v>9.9756159338979203E-2</c:v>
                </c:pt>
              </c:numCache>
            </c:numRef>
          </c:val>
          <c:extLst>
            <c:ext xmlns:c16="http://schemas.microsoft.com/office/drawing/2014/chart" uri="{C3380CC4-5D6E-409C-BE32-E72D297353CC}">
              <c16:uniqueId val="{00000008-1406-473D-9050-6B404FFF34E9}"/>
            </c:ext>
          </c:extLst>
        </c:ser>
        <c:ser>
          <c:idx val="8"/>
          <c:order val="8"/>
          <c:tx>
            <c:v>2019</c:v>
          </c:tx>
          <c:spPr>
            <a:solidFill>
              <a:schemeClr val="accent3">
                <a:lumMod val="60000"/>
              </a:schemeClr>
            </a:solidFill>
            <a:ln>
              <a:noFill/>
            </a:ln>
            <a:effectLst/>
          </c:spPr>
          <c:invertIfNegative val="0"/>
          <c:val>
            <c:numRef>
              <c:f>'Analisi dati, formula corretta'!$CA$4:$CA$52</c:f>
              <c:numCache>
                <c:formatCode>#,##0.000</c:formatCode>
                <c:ptCount val="49"/>
                <c:pt idx="0">
                  <c:v>0.14000000000000001</c:v>
                </c:pt>
                <c:pt idx="1">
                  <c:v>0.12822876618888171</c:v>
                </c:pt>
                <c:pt idx="2">
                  <c:v>0.26056177209408543</c:v>
                </c:pt>
                <c:pt idx="3">
                  <c:v>0.14288532675709001</c:v>
                </c:pt>
                <c:pt idx="4">
                  <c:v>0.11</c:v>
                </c:pt>
                <c:pt idx="5">
                  <c:v>0.10117361392148927</c:v>
                </c:pt>
                <c:pt idx="6">
                  <c:v>0.61102603369065855</c:v>
                </c:pt>
                <c:pt idx="7">
                  <c:v>0.12793297736587281</c:v>
                </c:pt>
                <c:pt idx="8">
                  <c:v>0.25245732022762546</c:v>
                </c:pt>
                <c:pt idx="9">
                  <c:v>0.12663973378071014</c:v>
                </c:pt>
                <c:pt idx="10">
                  <c:v>0.12241435131028257</c:v>
                </c:pt>
                <c:pt idx="11">
                  <c:v>0.21451555237754741</c:v>
                </c:pt>
                <c:pt idx="12">
                  <c:v>0.15529324972334932</c:v>
                </c:pt>
                <c:pt idx="13">
                  <c:v>0.58045114639101414</c:v>
                </c:pt>
                <c:pt idx="14">
                  <c:v>0.64455118583008109</c:v>
                </c:pt>
                <c:pt idx="15">
                  <c:v>0.11078258447619854</c:v>
                </c:pt>
                <c:pt idx="16">
                  <c:v>0.12906260508203446</c:v>
                </c:pt>
                <c:pt idx="17">
                  <c:v>9.7177040102797596E-2</c:v>
                </c:pt>
                <c:pt idx="18">
                  <c:v>6.577573606180831E-2</c:v>
                </c:pt>
                <c:pt idx="19">
                  <c:v>0.10742740720321947</c:v>
                </c:pt>
                <c:pt idx="20">
                  <c:v>0.14316904952637227</c:v>
                </c:pt>
                <c:pt idx="21">
                  <c:v>0.10830539165398678</c:v>
                </c:pt>
                <c:pt idx="22">
                  <c:v>0.24430697935415158</c:v>
                </c:pt>
                <c:pt idx="23">
                  <c:v>0.10551717177278025</c:v>
                </c:pt>
                <c:pt idx="24">
                  <c:v>6.0201334798744836E-2</c:v>
                </c:pt>
                <c:pt idx="25">
                  <c:v>0.14881323393752025</c:v>
                </c:pt>
                <c:pt idx="26">
                  <c:v>0.12895420342127115</c:v>
                </c:pt>
                <c:pt idx="27">
                  <c:v>6.1906727197688811E-2</c:v>
                </c:pt>
                <c:pt idx="28">
                  <c:v>5.3030303030303032E-2</c:v>
                </c:pt>
                <c:pt idx="29">
                  <c:v>6.4684651670167931E-2</c:v>
                </c:pt>
                <c:pt idx="30">
                  <c:v>0.12336947104642644</c:v>
                </c:pt>
                <c:pt idx="31">
                  <c:v>0.10154264560446903</c:v>
                </c:pt>
                <c:pt idx="32">
                  <c:v>0.44905492029025801</c:v>
                </c:pt>
                <c:pt idx="33">
                  <c:v>4.2726400072919724E-2</c:v>
                </c:pt>
                <c:pt idx="34">
                  <c:v>9.8549380242971871E-2</c:v>
                </c:pt>
                <c:pt idx="35">
                  <c:v>8.1721760248930603E-2</c:v>
                </c:pt>
                <c:pt idx="36">
                  <c:v>0.51149114746750335</c:v>
                </c:pt>
                <c:pt idx="37">
                  <c:v>0</c:v>
                </c:pt>
                <c:pt idx="38">
                  <c:v>9.3498829567973812E-2</c:v>
                </c:pt>
                <c:pt idx="39">
                  <c:v>3.2553407934893183E-2</c:v>
                </c:pt>
                <c:pt idx="40">
                  <c:v>0.12348490490683622</c:v>
                </c:pt>
                <c:pt idx="41">
                  <c:v>0.450474040161436</c:v>
                </c:pt>
                <c:pt idx="42">
                  <c:v>9.0848407667435183E-2</c:v>
                </c:pt>
                <c:pt idx="43">
                  <c:v>0.13461287495080465</c:v>
                </c:pt>
                <c:pt idx="44">
                  <c:v>0.10089192543112134</c:v>
                </c:pt>
                <c:pt idx="45">
                  <c:v>0.11433369360356578</c:v>
                </c:pt>
                <c:pt idx="46">
                  <c:v>0.13161072615512306</c:v>
                </c:pt>
                <c:pt idx="47">
                  <c:v>0.1185665380403239</c:v>
                </c:pt>
                <c:pt idx="48">
                  <c:v>8.0648378635903531E-2</c:v>
                </c:pt>
              </c:numCache>
            </c:numRef>
          </c:val>
          <c:extLst>
            <c:ext xmlns:c16="http://schemas.microsoft.com/office/drawing/2014/chart" uri="{C3380CC4-5D6E-409C-BE32-E72D297353CC}">
              <c16:uniqueId val="{00000009-1406-473D-9050-6B404FFF34E9}"/>
            </c:ext>
          </c:extLst>
        </c:ser>
        <c:dLbls>
          <c:showLegendKey val="0"/>
          <c:showVal val="0"/>
          <c:showCatName val="0"/>
          <c:showSerName val="0"/>
          <c:showPercent val="0"/>
          <c:showBubbleSize val="0"/>
        </c:dLbls>
        <c:gapWidth val="219"/>
        <c:overlap val="-27"/>
        <c:axId val="55998191"/>
        <c:axId val="55996943"/>
        <c:extLst/>
      </c:barChart>
      <c:catAx>
        <c:axId val="5599819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a:t>
            </a:r>
            <a:r>
              <a:rPr lang="it-IT" baseline="0"/>
              <a:t> delle emissioni specifiche (CO)</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1"/>
          <c:order val="0"/>
          <c:tx>
            <c:v>2011</c:v>
          </c:tx>
          <c:spPr>
            <a:solidFill>
              <a:schemeClr val="accent2"/>
            </a:solidFill>
            <a:ln>
              <a:noFill/>
            </a:ln>
            <a:effectLst/>
          </c:spPr>
          <c:invertIfNegative val="0"/>
          <c:val>
            <c:numRef>
              <c:f>'Analisi dati, formula corretta'!$CP$4:$CP$52</c:f>
              <c:numCache>
                <c:formatCode>#,##0.00000</c:formatCode>
                <c:ptCount val="49"/>
                <c:pt idx="0">
                  <c:v>8.1519037677701568E-3</c:v>
                </c:pt>
                <c:pt idx="1">
                  <c:v>8.0000000000000002E-3</c:v>
                </c:pt>
                <c:pt idx="2">
                  <c:v>0.14142869701164007</c:v>
                </c:pt>
                <c:pt idx="3">
                  <c:v>0.17542120911793854</c:v>
                </c:pt>
                <c:pt idx="4">
                  <c:v>0</c:v>
                </c:pt>
                <c:pt idx="5">
                  <c:v>0.46511627906976744</c:v>
                </c:pt>
                <c:pt idx="6">
                  <c:v>0.23945783132530121</c:v>
                </c:pt>
                <c:pt idx="7">
                  <c:v>1.4738045907199836E-2</c:v>
                </c:pt>
                <c:pt idx="8">
                  <c:v>0</c:v>
                </c:pt>
                <c:pt idx="9">
                  <c:v>2.5993883792048929E-2</c:v>
                </c:pt>
                <c:pt idx="10">
                  <c:v>5.5104602510460251E-3</c:v>
                </c:pt>
                <c:pt idx="11">
                  <c:v>0.27740854187135178</c:v>
                </c:pt>
                <c:pt idx="12">
                  <c:v>0.27073924411694794</c:v>
                </c:pt>
                <c:pt idx="13">
                  <c:v>0.33023911871243306</c:v>
                </c:pt>
                <c:pt idx="14">
                  <c:v>2.0710059171597635E-2</c:v>
                </c:pt>
                <c:pt idx="15">
                  <c:v>1.303095752339813E-2</c:v>
                </c:pt>
                <c:pt idx="16">
                  <c:v>0.20814479638009051</c:v>
                </c:pt>
                <c:pt idx="17">
                  <c:v>3.6783834406520798E-2</c:v>
                </c:pt>
                <c:pt idx="18">
                  <c:v>4.6561902386297498E-3</c:v>
                </c:pt>
                <c:pt idx="19">
                  <c:v>5.2681201442468326E-3</c:v>
                </c:pt>
                <c:pt idx="20">
                  <c:v>8.2854638195248437E-3</c:v>
                </c:pt>
                <c:pt idx="21">
                  <c:v>0.10618053431222597</c:v>
                </c:pt>
                <c:pt idx="22">
                  <c:v>5.3333304888904053E-2</c:v>
                </c:pt>
                <c:pt idx="23">
                  <c:v>9.8399957648658234E-2</c:v>
                </c:pt>
                <c:pt idx="24">
                  <c:v>0</c:v>
                </c:pt>
                <c:pt idx="25">
                  <c:v>0</c:v>
                </c:pt>
                <c:pt idx="26">
                  <c:v>1.3366477067837276E-2</c:v>
                </c:pt>
                <c:pt idx="27">
                  <c:v>2.8224297174535413E-2</c:v>
                </c:pt>
                <c:pt idx="28">
                  <c:v>5.8555627846454128E-3</c:v>
                </c:pt>
                <c:pt idx="29">
                  <c:v>0.13854474044066994</c:v>
                </c:pt>
                <c:pt idx="30">
                  <c:v>1.1424367986509091E-2</c:v>
                </c:pt>
                <c:pt idx="31">
                  <c:v>0</c:v>
                </c:pt>
                <c:pt idx="32">
                  <c:v>5.6218238682734956E-2</c:v>
                </c:pt>
                <c:pt idx="33">
                  <c:v>1.2512437994295104E-2</c:v>
                </c:pt>
                <c:pt idx="34">
                  <c:v>4.4273688085004502E-2</c:v>
                </c:pt>
                <c:pt idx="35">
                  <c:v>1.0083806031748624E-2</c:v>
                </c:pt>
                <c:pt idx="36">
                  <c:v>0</c:v>
                </c:pt>
                <c:pt idx="37">
                  <c:v>3.3692159052754918E-2</c:v>
                </c:pt>
                <c:pt idx="38">
                  <c:v>4.6210857208798285E-2</c:v>
                </c:pt>
                <c:pt idx="39">
                  <c:v>0</c:v>
                </c:pt>
                <c:pt idx="40">
                  <c:v>0.30653958775908591</c:v>
                </c:pt>
                <c:pt idx="41">
                  <c:v>0.14518719032733635</c:v>
                </c:pt>
                <c:pt idx="42">
                  <c:v>0.54933424994572688</c:v>
                </c:pt>
                <c:pt idx="43">
                  <c:v>1.5288142993886185E-2</c:v>
                </c:pt>
                <c:pt idx="44">
                  <c:v>0</c:v>
                </c:pt>
                <c:pt idx="45">
                  <c:v>6.0049509476171097E-2</c:v>
                </c:pt>
                <c:pt idx="46">
                  <c:v>0</c:v>
                </c:pt>
                <c:pt idx="47">
                  <c:v>0</c:v>
                </c:pt>
                <c:pt idx="48">
                  <c:v>0</c:v>
                </c:pt>
              </c:numCache>
            </c:numRef>
          </c:val>
          <c:extLst>
            <c:ext xmlns:c16="http://schemas.microsoft.com/office/drawing/2014/chart" uri="{C3380CC4-5D6E-409C-BE32-E72D297353CC}">
              <c16:uniqueId val="{00000001-F54E-46E3-9DF5-8E3C1EB642E5}"/>
            </c:ext>
          </c:extLst>
        </c:ser>
        <c:ser>
          <c:idx val="0"/>
          <c:order val="1"/>
          <c:tx>
            <c:v>2012</c:v>
          </c:tx>
          <c:spPr>
            <a:solidFill>
              <a:schemeClr val="accent1"/>
            </a:solidFill>
            <a:ln>
              <a:noFill/>
            </a:ln>
            <a:effectLst/>
          </c:spPr>
          <c:invertIfNegative val="0"/>
          <c:val>
            <c:numRef>
              <c:f>'Analisi dati, formula corretta'!$CQ$4:$CQ$52</c:f>
              <c:numCache>
                <c:formatCode>#,##0.00000</c:formatCode>
                <c:ptCount val="49"/>
                <c:pt idx="0">
                  <c:v>1.2150206933211833E-2</c:v>
                </c:pt>
                <c:pt idx="1">
                  <c:v>1.0344827586206896E-2</c:v>
                </c:pt>
                <c:pt idx="2">
                  <c:v>0.15142376819289641</c:v>
                </c:pt>
                <c:pt idx="3">
                  <c:v>0.33031088082901555</c:v>
                </c:pt>
                <c:pt idx="4">
                  <c:v>0</c:v>
                </c:pt>
                <c:pt idx="5">
                  <c:v>1.3034633399863831</c:v>
                </c:pt>
                <c:pt idx="6">
                  <c:v>0.34025096525096526</c:v>
                </c:pt>
                <c:pt idx="7">
                  <c:v>1.5738187399154127E-2</c:v>
                </c:pt>
                <c:pt idx="8">
                  <c:v>0</c:v>
                </c:pt>
                <c:pt idx="9">
                  <c:v>2.6394721055788842E-2</c:v>
                </c:pt>
                <c:pt idx="10">
                  <c:v>9.8769230769230783E-3</c:v>
                </c:pt>
                <c:pt idx="11">
                  <c:v>0.36654307586031887</c:v>
                </c:pt>
                <c:pt idx="12">
                  <c:v>0.47529867613819826</c:v>
                </c:pt>
                <c:pt idx="13">
                  <c:v>0.42829737020868702</c:v>
                </c:pt>
                <c:pt idx="14">
                  <c:v>2.3194517659462309E-2</c:v>
                </c:pt>
                <c:pt idx="15">
                  <c:v>1.8488529014844803E-2</c:v>
                </c:pt>
                <c:pt idx="16">
                  <c:v>0.21546052631578946</c:v>
                </c:pt>
                <c:pt idx="17">
                  <c:v>3.8045451476287469E-2</c:v>
                </c:pt>
                <c:pt idx="18">
                  <c:v>2.435464917933361E-2</c:v>
                </c:pt>
                <c:pt idx="19">
                  <c:v>8.5180177598253911E-3</c:v>
                </c:pt>
                <c:pt idx="20">
                  <c:v>8.6644251780566631E-3</c:v>
                </c:pt>
                <c:pt idx="21">
                  <c:v>9.6446624161351413E-2</c:v>
                </c:pt>
                <c:pt idx="22">
                  <c:v>6.9459647683657796E-2</c:v>
                </c:pt>
                <c:pt idx="23">
                  <c:v>8.4358870759658394E-2</c:v>
                </c:pt>
                <c:pt idx="24">
                  <c:v>0</c:v>
                </c:pt>
                <c:pt idx="25">
                  <c:v>8.230663428053028E-3</c:v>
                </c:pt>
                <c:pt idx="26">
                  <c:v>1.1708770933863185E-2</c:v>
                </c:pt>
                <c:pt idx="27">
                  <c:v>2.9706702857573701E-2</c:v>
                </c:pt>
                <c:pt idx="28">
                  <c:v>3.687315634218289E-3</c:v>
                </c:pt>
                <c:pt idx="29">
                  <c:v>0.17970683120869482</c:v>
                </c:pt>
                <c:pt idx="30">
                  <c:v>1.4664533893518529E-2</c:v>
                </c:pt>
                <c:pt idx="31">
                  <c:v>0</c:v>
                </c:pt>
                <c:pt idx="32">
                  <c:v>5.087367990769056E-2</c:v>
                </c:pt>
                <c:pt idx="33">
                  <c:v>2.9936392240306038E-2</c:v>
                </c:pt>
                <c:pt idx="34">
                  <c:v>9.4386771029893263E-2</c:v>
                </c:pt>
                <c:pt idx="35">
                  <c:v>1.4103688555297478E-2</c:v>
                </c:pt>
                <c:pt idx="36">
                  <c:v>0</c:v>
                </c:pt>
                <c:pt idx="37">
                  <c:v>5.7983346502157668E-2</c:v>
                </c:pt>
                <c:pt idx="38">
                  <c:v>5.8255353725983595E-2</c:v>
                </c:pt>
                <c:pt idx="39">
                  <c:v>0.37291666666666662</c:v>
                </c:pt>
                <c:pt idx="40">
                  <c:v>0.19283074160214891</c:v>
                </c:pt>
                <c:pt idx="41">
                  <c:v>0.1694647104774834</c:v>
                </c:pt>
                <c:pt idx="42">
                  <c:v>0.454908984410201</c:v>
                </c:pt>
                <c:pt idx="43">
                  <c:v>1.8585678293064362E-2</c:v>
                </c:pt>
                <c:pt idx="44">
                  <c:v>0</c:v>
                </c:pt>
                <c:pt idx="45">
                  <c:v>6.8494774639019373E-2</c:v>
                </c:pt>
                <c:pt idx="46">
                  <c:v>0</c:v>
                </c:pt>
                <c:pt idx="47">
                  <c:v>0.14899999999999999</c:v>
                </c:pt>
                <c:pt idx="48">
                  <c:v>0.23725893733520179</c:v>
                </c:pt>
              </c:numCache>
            </c:numRef>
          </c:val>
          <c:extLst>
            <c:ext xmlns:c16="http://schemas.microsoft.com/office/drawing/2014/chart" uri="{C3380CC4-5D6E-409C-BE32-E72D297353CC}">
              <c16:uniqueId val="{00000002-F54E-46E3-9DF5-8E3C1EB642E5}"/>
            </c:ext>
          </c:extLst>
        </c:ser>
        <c:ser>
          <c:idx val="2"/>
          <c:order val="2"/>
          <c:tx>
            <c:v>2013</c:v>
          </c:tx>
          <c:spPr>
            <a:solidFill>
              <a:schemeClr val="accent3"/>
            </a:solidFill>
            <a:ln>
              <a:noFill/>
            </a:ln>
            <a:effectLst/>
          </c:spPr>
          <c:invertIfNegative val="0"/>
          <c:val>
            <c:numRef>
              <c:f>'Analisi dati, formula corretta'!$CR$4:$CR$52</c:f>
              <c:numCache>
                <c:formatCode>#,##0.00000</c:formatCode>
                <c:ptCount val="49"/>
                <c:pt idx="0">
                  <c:v>2.6319637373885072E-2</c:v>
                </c:pt>
                <c:pt idx="1">
                  <c:v>1.4598540145985401E-2</c:v>
                </c:pt>
                <c:pt idx="2">
                  <c:v>0.15052482394830355</c:v>
                </c:pt>
                <c:pt idx="3">
                  <c:v>0.22177100958826845</c:v>
                </c:pt>
                <c:pt idx="4">
                  <c:v>0</c:v>
                </c:pt>
                <c:pt idx="5">
                  <c:v>1.9882892057026476</c:v>
                </c:pt>
                <c:pt idx="6">
                  <c:v>0.20472440944881889</c:v>
                </c:pt>
                <c:pt idx="7">
                  <c:v>1.0328917109269075E-2</c:v>
                </c:pt>
                <c:pt idx="8">
                  <c:v>3.7068965517241377E-2</c:v>
                </c:pt>
                <c:pt idx="9">
                  <c:v>1.66270783847981E-2</c:v>
                </c:pt>
                <c:pt idx="10">
                  <c:v>0</c:v>
                </c:pt>
                <c:pt idx="11">
                  <c:v>0.1623640201331385</c:v>
                </c:pt>
                <c:pt idx="12">
                  <c:v>0.65539983511953837</c:v>
                </c:pt>
                <c:pt idx="13">
                  <c:v>0.38337617346877967</c:v>
                </c:pt>
                <c:pt idx="14">
                  <c:v>1.0112684195319271E-2</c:v>
                </c:pt>
                <c:pt idx="15">
                  <c:v>2.4248813916710594E-2</c:v>
                </c:pt>
                <c:pt idx="16">
                  <c:v>0.39663461538461536</c:v>
                </c:pt>
                <c:pt idx="17">
                  <c:v>3.4708768802839962E-2</c:v>
                </c:pt>
                <c:pt idx="18">
                  <c:v>7.0331600151509938E-2</c:v>
                </c:pt>
                <c:pt idx="19">
                  <c:v>9.7895883609024157E-3</c:v>
                </c:pt>
                <c:pt idx="20">
                  <c:v>6.5439544331364913E-3</c:v>
                </c:pt>
                <c:pt idx="21">
                  <c:v>5.6267295142904343E-2</c:v>
                </c:pt>
                <c:pt idx="22">
                  <c:v>8.3003533855164124E-2</c:v>
                </c:pt>
                <c:pt idx="23">
                  <c:v>7.3777740381735804E-2</c:v>
                </c:pt>
                <c:pt idx="24">
                  <c:v>6.0368468343632914E-3</c:v>
                </c:pt>
                <c:pt idx="25">
                  <c:v>0.12809926654514547</c:v>
                </c:pt>
                <c:pt idx="26">
                  <c:v>1.1860373750027799E-2</c:v>
                </c:pt>
                <c:pt idx="27">
                  <c:v>3.1409713589055248E-2</c:v>
                </c:pt>
                <c:pt idx="28">
                  <c:v>2.7586206896551722E-3</c:v>
                </c:pt>
                <c:pt idx="29">
                  <c:v>0.23515334819059749</c:v>
                </c:pt>
                <c:pt idx="30">
                  <c:v>1.4175377773817673E-2</c:v>
                </c:pt>
                <c:pt idx="31">
                  <c:v>0</c:v>
                </c:pt>
                <c:pt idx="32">
                  <c:v>4.354159672032655E-2</c:v>
                </c:pt>
                <c:pt idx="33">
                  <c:v>2.5269599349735789E-2</c:v>
                </c:pt>
                <c:pt idx="34">
                  <c:v>7.3757403561340348E-2</c:v>
                </c:pt>
                <c:pt idx="35">
                  <c:v>2.0692809534104961E-2</c:v>
                </c:pt>
                <c:pt idx="36">
                  <c:v>0</c:v>
                </c:pt>
                <c:pt idx="37">
                  <c:v>0.12252418240442192</c:v>
                </c:pt>
                <c:pt idx="38">
                  <c:v>7.545101094256057E-2</c:v>
                </c:pt>
                <c:pt idx="39">
                  <c:v>0.17142254115660618</c:v>
                </c:pt>
                <c:pt idx="40">
                  <c:v>0.28662580159246509</c:v>
                </c:pt>
                <c:pt idx="41">
                  <c:v>0.20292930237007908</c:v>
                </c:pt>
                <c:pt idx="42">
                  <c:v>0.68995808814190762</c:v>
                </c:pt>
                <c:pt idx="43">
                  <c:v>1.7502598041896845E-2</c:v>
                </c:pt>
                <c:pt idx="44">
                  <c:v>0.34484224364592458</c:v>
                </c:pt>
                <c:pt idx="45">
                  <c:v>8.2798145321544794E-2</c:v>
                </c:pt>
                <c:pt idx="46">
                  <c:v>1.5211879753712423E-2</c:v>
                </c:pt>
                <c:pt idx="47">
                  <c:v>0.19900000000000001</c:v>
                </c:pt>
                <c:pt idx="48">
                  <c:v>0.4812286160582197</c:v>
                </c:pt>
              </c:numCache>
            </c:numRef>
          </c:val>
          <c:extLst>
            <c:ext xmlns:c16="http://schemas.microsoft.com/office/drawing/2014/chart" uri="{C3380CC4-5D6E-409C-BE32-E72D297353CC}">
              <c16:uniqueId val="{00000003-F54E-46E3-9DF5-8E3C1EB642E5}"/>
            </c:ext>
          </c:extLst>
        </c:ser>
        <c:ser>
          <c:idx val="3"/>
          <c:order val="3"/>
          <c:tx>
            <c:v>2014</c:v>
          </c:tx>
          <c:spPr>
            <a:solidFill>
              <a:schemeClr val="accent4"/>
            </a:solidFill>
            <a:ln>
              <a:noFill/>
            </a:ln>
            <a:effectLst/>
          </c:spPr>
          <c:invertIfNegative val="0"/>
          <c:val>
            <c:numRef>
              <c:f>'Analisi dati, formula corretta'!$CS$4:$CS$52</c:f>
              <c:numCache>
                <c:formatCode>#,##0.00000</c:formatCode>
                <c:ptCount val="49"/>
                <c:pt idx="0">
                  <c:v>1.5368852459016395E-2</c:v>
                </c:pt>
                <c:pt idx="1">
                  <c:v>1.4326647564469915E-2</c:v>
                </c:pt>
                <c:pt idx="2">
                  <c:v>0.13576813535528448</c:v>
                </c:pt>
                <c:pt idx="3">
                  <c:v>0.50585774058577404</c:v>
                </c:pt>
                <c:pt idx="4">
                  <c:v>0</c:v>
                </c:pt>
                <c:pt idx="5">
                  <c:v>2.6210775853105703</c:v>
                </c:pt>
                <c:pt idx="6">
                  <c:v>0.21200980392156862</c:v>
                </c:pt>
                <c:pt idx="7">
                  <c:v>0.13079026731126719</c:v>
                </c:pt>
                <c:pt idx="8">
                  <c:v>0</c:v>
                </c:pt>
                <c:pt idx="9">
                  <c:v>1.4150943396226415E-2</c:v>
                </c:pt>
                <c:pt idx="10">
                  <c:v>0</c:v>
                </c:pt>
                <c:pt idx="11">
                  <c:v>0.15867411906112525</c:v>
                </c:pt>
                <c:pt idx="12">
                  <c:v>1.0121212121212122</c:v>
                </c:pt>
                <c:pt idx="13">
                  <c:v>0.38564342139153768</c:v>
                </c:pt>
                <c:pt idx="14">
                  <c:v>1.2554927809165096E-2</c:v>
                </c:pt>
                <c:pt idx="15">
                  <c:v>4.1968162083936326E-2</c:v>
                </c:pt>
                <c:pt idx="16">
                  <c:v>1.0401960784313724</c:v>
                </c:pt>
                <c:pt idx="17">
                  <c:v>9.1420611457839092E-3</c:v>
                </c:pt>
                <c:pt idx="18">
                  <c:v>0.10105119582343672</c:v>
                </c:pt>
                <c:pt idx="19">
                  <c:v>7.0354945723937017E-3</c:v>
                </c:pt>
                <c:pt idx="20">
                  <c:v>9.4858199153572999E-3</c:v>
                </c:pt>
                <c:pt idx="21">
                  <c:v>5.5371725923712777E-2</c:v>
                </c:pt>
                <c:pt idx="22">
                  <c:v>9.3578451424567943E-2</c:v>
                </c:pt>
                <c:pt idx="23">
                  <c:v>9.6778851420849035E-2</c:v>
                </c:pt>
                <c:pt idx="24">
                  <c:v>0</c:v>
                </c:pt>
                <c:pt idx="25">
                  <c:v>0.23478833778109048</c:v>
                </c:pt>
                <c:pt idx="26">
                  <c:v>3.6636052402188056E-2</c:v>
                </c:pt>
                <c:pt idx="27">
                  <c:v>3.6223319196273376E-2</c:v>
                </c:pt>
                <c:pt idx="28">
                  <c:v>9.5541401273885346E-3</c:v>
                </c:pt>
                <c:pt idx="29">
                  <c:v>0.24116757982240694</c:v>
                </c:pt>
                <c:pt idx="30">
                  <c:v>6.9362558091142404E-2</c:v>
                </c:pt>
                <c:pt idx="31">
                  <c:v>0.10283836298559597</c:v>
                </c:pt>
                <c:pt idx="32">
                  <c:v>4.3895329416358535E-2</c:v>
                </c:pt>
                <c:pt idx="33">
                  <c:v>7.2655739848857892E-3</c:v>
                </c:pt>
                <c:pt idx="34">
                  <c:v>0.10738426719871344</c:v>
                </c:pt>
                <c:pt idx="35">
                  <c:v>1.075418971995769E-2</c:v>
                </c:pt>
                <c:pt idx="36">
                  <c:v>0</c:v>
                </c:pt>
                <c:pt idx="37">
                  <c:v>0.37263910158243996</c:v>
                </c:pt>
                <c:pt idx="38">
                  <c:v>6.8028696875984937E-2</c:v>
                </c:pt>
                <c:pt idx="39">
                  <c:v>0.49112741827885259</c:v>
                </c:pt>
                <c:pt idx="40">
                  <c:v>0.2931259651790824</c:v>
                </c:pt>
                <c:pt idx="41">
                  <c:v>0.18649835147275334</c:v>
                </c:pt>
                <c:pt idx="42">
                  <c:v>0.68510394524595597</c:v>
                </c:pt>
                <c:pt idx="43">
                  <c:v>1.6629520431823672E-2</c:v>
                </c:pt>
                <c:pt idx="44">
                  <c:v>0.32639545454545454</c:v>
                </c:pt>
                <c:pt idx="45">
                  <c:v>9.0427185045626218E-2</c:v>
                </c:pt>
                <c:pt idx="46">
                  <c:v>1.7409406606363184E-2</c:v>
                </c:pt>
                <c:pt idx="47">
                  <c:v>0.15398823529411765</c:v>
                </c:pt>
                <c:pt idx="48">
                  <c:v>0.36681765544623091</c:v>
                </c:pt>
              </c:numCache>
            </c:numRef>
          </c:val>
          <c:extLst>
            <c:ext xmlns:c16="http://schemas.microsoft.com/office/drawing/2014/chart" uri="{C3380CC4-5D6E-409C-BE32-E72D297353CC}">
              <c16:uniqueId val="{00000004-F54E-46E3-9DF5-8E3C1EB642E5}"/>
            </c:ext>
          </c:extLst>
        </c:ser>
        <c:ser>
          <c:idx val="4"/>
          <c:order val="4"/>
          <c:tx>
            <c:v>2015</c:v>
          </c:tx>
          <c:spPr>
            <a:solidFill>
              <a:schemeClr val="accent5"/>
            </a:solidFill>
            <a:ln>
              <a:noFill/>
            </a:ln>
            <a:effectLst/>
          </c:spPr>
          <c:invertIfNegative val="0"/>
          <c:val>
            <c:numRef>
              <c:f>'Analisi dati, formula corretta'!$CT$4:$CT$52</c:f>
              <c:numCache>
                <c:formatCode>#,##0.00000</c:formatCode>
                <c:ptCount val="49"/>
                <c:pt idx="0">
                  <c:v>1.9842057224493035E-2</c:v>
                </c:pt>
                <c:pt idx="1">
                  <c:v>1.3050570962479609E-2</c:v>
                </c:pt>
                <c:pt idx="2">
                  <c:v>0.14371732826070874</c:v>
                </c:pt>
                <c:pt idx="3">
                  <c:v>0.36503198294243072</c:v>
                </c:pt>
                <c:pt idx="4">
                  <c:v>0</c:v>
                </c:pt>
                <c:pt idx="5">
                  <c:v>0.92606565893966009</c:v>
                </c:pt>
                <c:pt idx="6">
                  <c:v>0.23335943617854346</c:v>
                </c:pt>
                <c:pt idx="7">
                  <c:v>0.12175080227742363</c:v>
                </c:pt>
                <c:pt idx="8">
                  <c:v>0</c:v>
                </c:pt>
                <c:pt idx="9">
                  <c:v>1.2115563839701771E-2</c:v>
                </c:pt>
                <c:pt idx="10">
                  <c:v>2.8468549566782939E-2</c:v>
                </c:pt>
                <c:pt idx="11">
                  <c:v>0.20260140200170187</c:v>
                </c:pt>
                <c:pt idx="12">
                  <c:v>0.64527145359019267</c:v>
                </c:pt>
                <c:pt idx="13">
                  <c:v>0.30660490259261147</c:v>
                </c:pt>
                <c:pt idx="14">
                  <c:v>4.3159257660768235E-4</c:v>
                </c:pt>
                <c:pt idx="15">
                  <c:v>4.3907793633369926E-2</c:v>
                </c:pt>
                <c:pt idx="16">
                  <c:v>0.49083969465648858</c:v>
                </c:pt>
                <c:pt idx="17">
                  <c:v>3.8958267138785772E-2</c:v>
                </c:pt>
                <c:pt idx="18">
                  <c:v>1.9558676028084251E-2</c:v>
                </c:pt>
                <c:pt idx="19">
                  <c:v>1.3747064091819741E-2</c:v>
                </c:pt>
                <c:pt idx="20">
                  <c:v>1.8866342445077983E-2</c:v>
                </c:pt>
                <c:pt idx="21">
                  <c:v>4.7788723016322449E-2</c:v>
                </c:pt>
                <c:pt idx="22">
                  <c:v>8.0214901727561808E-2</c:v>
                </c:pt>
                <c:pt idx="23">
                  <c:v>8.660045997353201E-2</c:v>
                </c:pt>
                <c:pt idx="24">
                  <c:v>0</c:v>
                </c:pt>
                <c:pt idx="25">
                  <c:v>0.16236054613556727</c:v>
                </c:pt>
                <c:pt idx="26">
                  <c:v>7.860752386299831E-2</c:v>
                </c:pt>
                <c:pt idx="27">
                  <c:v>5.7328175074373419E-2</c:v>
                </c:pt>
                <c:pt idx="28">
                  <c:v>4.2553191489361703E-3</c:v>
                </c:pt>
                <c:pt idx="29">
                  <c:v>0.10106684796777476</c:v>
                </c:pt>
                <c:pt idx="30">
                  <c:v>5.8226799855079968E-2</c:v>
                </c:pt>
                <c:pt idx="31">
                  <c:v>8.618092727701944E-2</c:v>
                </c:pt>
                <c:pt idx="32">
                  <c:v>3.7144289335982718E-2</c:v>
                </c:pt>
                <c:pt idx="33">
                  <c:v>8.9422242888696143E-3</c:v>
                </c:pt>
                <c:pt idx="34">
                  <c:v>6.8692545818594589E-2</c:v>
                </c:pt>
                <c:pt idx="35">
                  <c:v>1.4984688181302063E-2</c:v>
                </c:pt>
                <c:pt idx="36">
                  <c:v>0.13705311999562347</c:v>
                </c:pt>
                <c:pt idx="37">
                  <c:v>0.26059052134229921</c:v>
                </c:pt>
                <c:pt idx="38">
                  <c:v>5.4538988699310342E-2</c:v>
                </c:pt>
                <c:pt idx="39">
                  <c:v>3.2736106893410263E-2</c:v>
                </c:pt>
                <c:pt idx="40">
                  <c:v>9.0574845897503378E-2</c:v>
                </c:pt>
                <c:pt idx="41">
                  <c:v>0.19602654805100495</c:v>
                </c:pt>
                <c:pt idx="42">
                  <c:v>0.43300156014049612</c:v>
                </c:pt>
                <c:pt idx="43">
                  <c:v>1.5107186699591347E-2</c:v>
                </c:pt>
                <c:pt idx="44">
                  <c:v>0.24453537500062797</c:v>
                </c:pt>
                <c:pt idx="45">
                  <c:v>8.2742539067642035E-2</c:v>
                </c:pt>
                <c:pt idx="46">
                  <c:v>2.2954069503133827E-2</c:v>
                </c:pt>
                <c:pt idx="47">
                  <c:v>9.9034918276374437E-2</c:v>
                </c:pt>
                <c:pt idx="48">
                  <c:v>9.0574845897503378E-2</c:v>
                </c:pt>
              </c:numCache>
            </c:numRef>
          </c:val>
          <c:extLst>
            <c:ext xmlns:c16="http://schemas.microsoft.com/office/drawing/2014/chart" uri="{C3380CC4-5D6E-409C-BE32-E72D297353CC}">
              <c16:uniqueId val="{00000005-F54E-46E3-9DF5-8E3C1EB642E5}"/>
            </c:ext>
          </c:extLst>
        </c:ser>
        <c:ser>
          <c:idx val="5"/>
          <c:order val="5"/>
          <c:tx>
            <c:v>2016</c:v>
          </c:tx>
          <c:spPr>
            <a:solidFill>
              <a:schemeClr val="accent6"/>
            </a:solidFill>
            <a:ln>
              <a:noFill/>
            </a:ln>
            <a:effectLst/>
          </c:spPr>
          <c:invertIfNegative val="0"/>
          <c:val>
            <c:numRef>
              <c:f>'Analisi dati, formula corretta'!$CU$4:$CU$52</c:f>
              <c:numCache>
                <c:formatCode>#,##0.00000</c:formatCode>
                <c:ptCount val="49"/>
                <c:pt idx="0">
                  <c:v>1.4626244602001601E-2</c:v>
                </c:pt>
                <c:pt idx="1">
                  <c:v>6.3775510204081634E-3</c:v>
                </c:pt>
                <c:pt idx="2">
                  <c:v>0.16302638476323605</c:v>
                </c:pt>
                <c:pt idx="3">
                  <c:v>0.35114206128133701</c:v>
                </c:pt>
                <c:pt idx="4">
                  <c:v>0</c:v>
                </c:pt>
                <c:pt idx="5">
                  <c:v>1.1667675936421182</c:v>
                </c:pt>
                <c:pt idx="6">
                  <c:v>0.36407766990291263</c:v>
                </c:pt>
                <c:pt idx="7">
                  <c:v>0.12576419230170124</c:v>
                </c:pt>
                <c:pt idx="8">
                  <c:v>3.9211484893936145E-2</c:v>
                </c:pt>
                <c:pt idx="9">
                  <c:v>1.2690355329949238E-2</c:v>
                </c:pt>
                <c:pt idx="10">
                  <c:v>1.4805783897692248E-2</c:v>
                </c:pt>
                <c:pt idx="11">
                  <c:v>0.1562231491462405</c:v>
                </c:pt>
                <c:pt idx="12">
                  <c:v>0.39348534201954394</c:v>
                </c:pt>
                <c:pt idx="13">
                  <c:v>0.16880149513965653</c:v>
                </c:pt>
                <c:pt idx="14">
                  <c:v>4.0749796251018743E-4</c:v>
                </c:pt>
                <c:pt idx="15">
                  <c:v>1.9680999906725123E-2</c:v>
                </c:pt>
                <c:pt idx="16">
                  <c:v>0.82941176470588229</c:v>
                </c:pt>
                <c:pt idx="17">
                  <c:v>5.2850211175746023E-2</c:v>
                </c:pt>
                <c:pt idx="18">
                  <c:v>2.2842087452563387E-2</c:v>
                </c:pt>
                <c:pt idx="19">
                  <c:v>1.4727081976134225E-2</c:v>
                </c:pt>
                <c:pt idx="20">
                  <c:v>2.0660498425670019E-2</c:v>
                </c:pt>
                <c:pt idx="21">
                  <c:v>6.378621788260673E-2</c:v>
                </c:pt>
                <c:pt idx="22">
                  <c:v>8.9305017126614775E-2</c:v>
                </c:pt>
                <c:pt idx="23">
                  <c:v>8.0899313212944621E-2</c:v>
                </c:pt>
                <c:pt idx="24">
                  <c:v>3.059169770929039E-3</c:v>
                </c:pt>
                <c:pt idx="25">
                  <c:v>1.2910318028428264E-2</c:v>
                </c:pt>
                <c:pt idx="26">
                  <c:v>4.3815432338115544E-2</c:v>
                </c:pt>
                <c:pt idx="27">
                  <c:v>5.8759996914135831E-2</c:v>
                </c:pt>
                <c:pt idx="28">
                  <c:v>3.5000000000000001E-3</c:v>
                </c:pt>
                <c:pt idx="29">
                  <c:v>0.17516389361437287</c:v>
                </c:pt>
                <c:pt idx="30">
                  <c:v>2.6628939892130804E-2</c:v>
                </c:pt>
                <c:pt idx="31">
                  <c:v>9.1084627069986962E-2</c:v>
                </c:pt>
                <c:pt idx="32">
                  <c:v>5.2086748594892256E-2</c:v>
                </c:pt>
                <c:pt idx="33">
                  <c:v>7.28985938902647E-3</c:v>
                </c:pt>
                <c:pt idx="34">
                  <c:v>6.2464423347444037E-2</c:v>
                </c:pt>
                <c:pt idx="35">
                  <c:v>1.2951526235117918E-2</c:v>
                </c:pt>
                <c:pt idx="36">
                  <c:v>7.4905123467569723E-2</c:v>
                </c:pt>
                <c:pt idx="37">
                  <c:v>6.7910275549946081E-2</c:v>
                </c:pt>
                <c:pt idx="38">
                  <c:v>2.5725076737792219E-2</c:v>
                </c:pt>
                <c:pt idx="39">
                  <c:v>8.2044809088040391E-3</c:v>
                </c:pt>
                <c:pt idx="40">
                  <c:v>4.3522725667550298E-2</c:v>
                </c:pt>
                <c:pt idx="41">
                  <c:v>0.17839401068886682</c:v>
                </c:pt>
                <c:pt idx="42">
                  <c:v>0.23509874647334023</c:v>
                </c:pt>
                <c:pt idx="43">
                  <c:v>1.564996008077137E-2</c:v>
                </c:pt>
                <c:pt idx="44">
                  <c:v>6.6731756003299792E-3</c:v>
                </c:pt>
                <c:pt idx="45">
                  <c:v>9.2154885019058844E-2</c:v>
                </c:pt>
                <c:pt idx="46">
                  <c:v>1.2885845045278978E-2</c:v>
                </c:pt>
                <c:pt idx="47">
                  <c:v>1.1713648752810293E-2</c:v>
                </c:pt>
                <c:pt idx="48">
                  <c:v>4.3522725667550298E-2</c:v>
                </c:pt>
              </c:numCache>
            </c:numRef>
          </c:val>
          <c:extLst>
            <c:ext xmlns:c16="http://schemas.microsoft.com/office/drawing/2014/chart" uri="{C3380CC4-5D6E-409C-BE32-E72D297353CC}">
              <c16:uniqueId val="{00000006-F54E-46E3-9DF5-8E3C1EB642E5}"/>
            </c:ext>
          </c:extLst>
        </c:ser>
        <c:ser>
          <c:idx val="6"/>
          <c:order val="6"/>
          <c:tx>
            <c:v>2017</c:v>
          </c:tx>
          <c:spPr>
            <a:solidFill>
              <a:schemeClr val="accent1">
                <a:lumMod val="60000"/>
              </a:schemeClr>
            </a:solidFill>
            <a:ln>
              <a:noFill/>
            </a:ln>
            <a:effectLst/>
          </c:spPr>
          <c:invertIfNegative val="0"/>
          <c:val>
            <c:numRef>
              <c:f>'Analisi dati, formula corretta'!$CV$4:$CV$52</c:f>
              <c:numCache>
                <c:formatCode>#,##0.00000</c:formatCode>
                <c:ptCount val="49"/>
                <c:pt idx="0">
                  <c:v>1.3299999999999999E-2</c:v>
                </c:pt>
                <c:pt idx="1">
                  <c:v>5.1511210127103916E-3</c:v>
                </c:pt>
                <c:pt idx="2">
                  <c:v>0.17657168701944823</c:v>
                </c:pt>
                <c:pt idx="3">
                  <c:v>0.16698656429942418</c:v>
                </c:pt>
                <c:pt idx="4">
                  <c:v>0</c:v>
                </c:pt>
                <c:pt idx="5">
                  <c:v>0.78463302752293573</c:v>
                </c:pt>
                <c:pt idx="6">
                  <c:v>0.27716933445661329</c:v>
                </c:pt>
                <c:pt idx="7">
                  <c:v>2.6535033435298498E-2</c:v>
                </c:pt>
                <c:pt idx="8">
                  <c:v>3.0503978779840849E-2</c:v>
                </c:pt>
                <c:pt idx="9">
                  <c:v>8.2212213211502651E-3</c:v>
                </c:pt>
                <c:pt idx="10">
                  <c:v>1.2066256833911123E-2</c:v>
                </c:pt>
                <c:pt idx="11">
                  <c:v>0.14887915266493684</c:v>
                </c:pt>
                <c:pt idx="12">
                  <c:v>0.29590737749057622</c:v>
                </c:pt>
                <c:pt idx="13">
                  <c:v>0.18377276447461577</c:v>
                </c:pt>
                <c:pt idx="14">
                  <c:v>2.8050490883590464E-4</c:v>
                </c:pt>
                <c:pt idx="15">
                  <c:v>2.0892122514487289E-2</c:v>
                </c:pt>
                <c:pt idx="16">
                  <c:v>2.7089684689657514E-2</c:v>
                </c:pt>
                <c:pt idx="17">
                  <c:v>5.4518517114031044E-2</c:v>
                </c:pt>
                <c:pt idx="18">
                  <c:v>1.2533744697261859E-2</c:v>
                </c:pt>
                <c:pt idx="19">
                  <c:v>1.6230416436358027E-2</c:v>
                </c:pt>
                <c:pt idx="20">
                  <c:v>1.6303725964602535E-2</c:v>
                </c:pt>
                <c:pt idx="21">
                  <c:v>5.5241746517633694E-2</c:v>
                </c:pt>
                <c:pt idx="22">
                  <c:v>9.0717303650116876E-2</c:v>
                </c:pt>
                <c:pt idx="23">
                  <c:v>5.7425766941626703E-2</c:v>
                </c:pt>
                <c:pt idx="24">
                  <c:v>0</c:v>
                </c:pt>
                <c:pt idx="25">
                  <c:v>6.1157172618421336E-3</c:v>
                </c:pt>
                <c:pt idx="26">
                  <c:v>3.1895079931708835E-2</c:v>
                </c:pt>
                <c:pt idx="27">
                  <c:v>4.9549103161232781E-2</c:v>
                </c:pt>
                <c:pt idx="28">
                  <c:v>7.3597056117755289E-3</c:v>
                </c:pt>
                <c:pt idx="29">
                  <c:v>0.25304070231444531</c:v>
                </c:pt>
                <c:pt idx="30">
                  <c:v>4.1719883222254145E-2</c:v>
                </c:pt>
                <c:pt idx="31">
                  <c:v>9.0925105150298585E-2</c:v>
                </c:pt>
                <c:pt idx="32">
                  <c:v>3.5090043305904851E-2</c:v>
                </c:pt>
                <c:pt idx="33">
                  <c:v>2.6455166429452007E-3</c:v>
                </c:pt>
                <c:pt idx="34">
                  <c:v>8.4948799203834163E-2</c:v>
                </c:pt>
                <c:pt idx="35">
                  <c:v>4.6100029934066696E-3</c:v>
                </c:pt>
                <c:pt idx="36">
                  <c:v>6.1906452919403734E-2</c:v>
                </c:pt>
                <c:pt idx="37">
                  <c:v>4.7738133557828022E-2</c:v>
                </c:pt>
                <c:pt idx="38">
                  <c:v>1.8286647640267908E-2</c:v>
                </c:pt>
                <c:pt idx="39">
                  <c:v>8.4459459459459464E-3</c:v>
                </c:pt>
                <c:pt idx="40">
                  <c:v>3.7566287241719502E-2</c:v>
                </c:pt>
                <c:pt idx="41">
                  <c:v>0.13051932353416665</c:v>
                </c:pt>
                <c:pt idx="42">
                  <c:v>9.8265039928004297E-2</c:v>
                </c:pt>
                <c:pt idx="43">
                  <c:v>1.6178362029090166E-2</c:v>
                </c:pt>
                <c:pt idx="44">
                  <c:v>0.14471909285863827</c:v>
                </c:pt>
                <c:pt idx="45">
                  <c:v>8.6881743308775947E-2</c:v>
                </c:pt>
                <c:pt idx="46">
                  <c:v>6.2286221021071739E-3</c:v>
                </c:pt>
                <c:pt idx="47">
                  <c:v>8.0591273663986038E-2</c:v>
                </c:pt>
                <c:pt idx="48">
                  <c:v>5.9839263393556615E-2</c:v>
                </c:pt>
              </c:numCache>
            </c:numRef>
          </c:val>
          <c:extLst>
            <c:ext xmlns:c16="http://schemas.microsoft.com/office/drawing/2014/chart" uri="{C3380CC4-5D6E-409C-BE32-E72D297353CC}">
              <c16:uniqueId val="{00000007-F54E-46E3-9DF5-8E3C1EB642E5}"/>
            </c:ext>
          </c:extLst>
        </c:ser>
        <c:ser>
          <c:idx val="7"/>
          <c:order val="7"/>
          <c:tx>
            <c:v>2018</c:v>
          </c:tx>
          <c:spPr>
            <a:solidFill>
              <a:schemeClr val="accent2">
                <a:lumMod val="60000"/>
              </a:schemeClr>
            </a:solidFill>
            <a:ln>
              <a:noFill/>
            </a:ln>
            <a:effectLst/>
          </c:spPr>
          <c:invertIfNegative val="0"/>
          <c:val>
            <c:numRef>
              <c:f>'Analisi dati, formula corretta'!$CW$4:$CW$52</c:f>
              <c:numCache>
                <c:formatCode>#,##0.00000</c:formatCode>
                <c:ptCount val="49"/>
                <c:pt idx="0">
                  <c:v>1.9099999999999999E-2</c:v>
                </c:pt>
                <c:pt idx="1">
                  <c:v>3.7734225772929012E-3</c:v>
                </c:pt>
                <c:pt idx="2">
                  <c:v>0.14816513761467889</c:v>
                </c:pt>
                <c:pt idx="3">
                  <c:v>0.14533911427686591</c:v>
                </c:pt>
                <c:pt idx="4">
                  <c:v>0</c:v>
                </c:pt>
                <c:pt idx="5">
                  <c:v>1.6410819949281488</c:v>
                </c:pt>
                <c:pt idx="6">
                  <c:v>0.23839854413102821</c:v>
                </c:pt>
                <c:pt idx="7">
                  <c:v>1.2440620188368189E-2</c:v>
                </c:pt>
                <c:pt idx="8">
                  <c:v>2.7184466019417475E-2</c:v>
                </c:pt>
                <c:pt idx="9">
                  <c:v>8.5430748451567687E-3</c:v>
                </c:pt>
                <c:pt idx="10">
                  <c:v>5.3646533718634658E-3</c:v>
                </c:pt>
                <c:pt idx="11">
                  <c:v>0.39874679578467676</c:v>
                </c:pt>
                <c:pt idx="12">
                  <c:v>0.38600451467268621</c:v>
                </c:pt>
                <c:pt idx="13">
                  <c:v>0.16071509759741501</c:v>
                </c:pt>
                <c:pt idx="14">
                  <c:v>3.1279324366593683E-4</c:v>
                </c:pt>
                <c:pt idx="15">
                  <c:v>1.4121419747526806E-2</c:v>
                </c:pt>
                <c:pt idx="16">
                  <c:v>3.7013310555911449E-2</c:v>
                </c:pt>
                <c:pt idx="17">
                  <c:v>6.6154465298357307E-2</c:v>
                </c:pt>
                <c:pt idx="18">
                  <c:v>1.7977772935280016E-2</c:v>
                </c:pt>
                <c:pt idx="19">
                  <c:v>1.6008517674338942E-2</c:v>
                </c:pt>
                <c:pt idx="20">
                  <c:v>1.7939620563009764E-2</c:v>
                </c:pt>
                <c:pt idx="21">
                  <c:v>5.9334871711332227E-2</c:v>
                </c:pt>
                <c:pt idx="22">
                  <c:v>6.4135578726422893E-2</c:v>
                </c:pt>
                <c:pt idx="23">
                  <c:v>5.8817142029824812E-2</c:v>
                </c:pt>
                <c:pt idx="24">
                  <c:v>0</c:v>
                </c:pt>
                <c:pt idx="25">
                  <c:v>1.1044045980432276E-2</c:v>
                </c:pt>
                <c:pt idx="26">
                  <c:v>1.4726344532826785E-2</c:v>
                </c:pt>
                <c:pt idx="27">
                  <c:v>4.2375480208978029E-2</c:v>
                </c:pt>
                <c:pt idx="28">
                  <c:v>7.3637702503681884E-3</c:v>
                </c:pt>
                <c:pt idx="29">
                  <c:v>0.18409314545736077</c:v>
                </c:pt>
                <c:pt idx="30">
                  <c:v>2.5685322690389367E-2</c:v>
                </c:pt>
                <c:pt idx="31">
                  <c:v>0.11715960517407262</c:v>
                </c:pt>
                <c:pt idx="32">
                  <c:v>5.1255050600545138E-2</c:v>
                </c:pt>
                <c:pt idx="33">
                  <c:v>4.4953437229717456E-3</c:v>
                </c:pt>
                <c:pt idx="34">
                  <c:v>9.089976279145566E-2</c:v>
                </c:pt>
                <c:pt idx="35">
                  <c:v>4.1656515219635456E-3</c:v>
                </c:pt>
                <c:pt idx="36">
                  <c:v>0.12529496402877696</c:v>
                </c:pt>
                <c:pt idx="37">
                  <c:v>3.2653168851601674E-2</c:v>
                </c:pt>
                <c:pt idx="38">
                  <c:v>2.0523038976982481E-2</c:v>
                </c:pt>
                <c:pt idx="39">
                  <c:v>5.8195926285160042E-3</c:v>
                </c:pt>
                <c:pt idx="40">
                  <c:v>6.0768111627279929E-2</c:v>
                </c:pt>
                <c:pt idx="41">
                  <c:v>8.4645625206632116E-2</c:v>
                </c:pt>
                <c:pt idx="42">
                  <c:v>0.11135159133161297</c:v>
                </c:pt>
                <c:pt idx="43">
                  <c:v>1.6513903161996638E-2</c:v>
                </c:pt>
                <c:pt idx="44">
                  <c:v>0.13459068225583187</c:v>
                </c:pt>
                <c:pt idx="45">
                  <c:v>7.3544005897697634E-2</c:v>
                </c:pt>
                <c:pt idx="46">
                  <c:v>9.7449059846767116E-3</c:v>
                </c:pt>
                <c:pt idx="47">
                  <c:v>7.0665466454260667E-2</c:v>
                </c:pt>
                <c:pt idx="48">
                  <c:v>0.14606948015218388</c:v>
                </c:pt>
              </c:numCache>
            </c:numRef>
          </c:val>
          <c:extLst>
            <c:ext xmlns:c16="http://schemas.microsoft.com/office/drawing/2014/chart" uri="{C3380CC4-5D6E-409C-BE32-E72D297353CC}">
              <c16:uniqueId val="{00000008-F54E-46E3-9DF5-8E3C1EB642E5}"/>
            </c:ext>
          </c:extLst>
        </c:ser>
        <c:ser>
          <c:idx val="8"/>
          <c:order val="8"/>
          <c:tx>
            <c:v>2019</c:v>
          </c:tx>
          <c:spPr>
            <a:solidFill>
              <a:schemeClr val="accent3">
                <a:lumMod val="60000"/>
              </a:schemeClr>
            </a:solidFill>
            <a:ln>
              <a:noFill/>
            </a:ln>
            <a:effectLst/>
          </c:spPr>
          <c:invertIfNegative val="0"/>
          <c:val>
            <c:numRef>
              <c:f>'Analisi dati, formula corretta'!$CX$4:$CX$52</c:f>
              <c:numCache>
                <c:formatCode>#,##0.00000</c:formatCode>
                <c:ptCount val="49"/>
                <c:pt idx="0">
                  <c:v>2.5999999999999999E-2</c:v>
                </c:pt>
                <c:pt idx="1">
                  <c:v>1.9575752471438747E-2</c:v>
                </c:pt>
                <c:pt idx="2">
                  <c:v>0.15391641927380681</c:v>
                </c:pt>
                <c:pt idx="3">
                  <c:v>9.9852034525277425E-2</c:v>
                </c:pt>
                <c:pt idx="4">
                  <c:v>0</c:v>
                </c:pt>
                <c:pt idx="5">
                  <c:v>0.47611250505868069</c:v>
                </c:pt>
                <c:pt idx="6">
                  <c:v>0.29555895865237364</c:v>
                </c:pt>
                <c:pt idx="7">
                  <c:v>9.9823570513167745E-3</c:v>
                </c:pt>
                <c:pt idx="8">
                  <c:v>2.5866528711846869E-2</c:v>
                </c:pt>
                <c:pt idx="9">
                  <c:v>7.4604595643091619E-3</c:v>
                </c:pt>
                <c:pt idx="10">
                  <c:v>6.6169919627179765E-3</c:v>
                </c:pt>
                <c:pt idx="11">
                  <c:v>0.19862551146069202</c:v>
                </c:pt>
                <c:pt idx="12">
                  <c:v>0.29841386942087789</c:v>
                </c:pt>
                <c:pt idx="13">
                  <c:v>0.15437530489122717</c:v>
                </c:pt>
                <c:pt idx="14">
                  <c:v>3.0021014710297208E-4</c:v>
                </c:pt>
                <c:pt idx="15">
                  <c:v>1.9120518824307511E-2</c:v>
                </c:pt>
                <c:pt idx="16">
                  <c:v>2.3227381486902281E-2</c:v>
                </c:pt>
                <c:pt idx="17">
                  <c:v>8.3627608498591063E-2</c:v>
                </c:pt>
                <c:pt idx="18">
                  <c:v>1.8793067446230945E-2</c:v>
                </c:pt>
                <c:pt idx="19">
                  <c:v>7.328458670796692E-3</c:v>
                </c:pt>
                <c:pt idx="20">
                  <c:v>3.0687468678768381E-2</c:v>
                </c:pt>
                <c:pt idx="21">
                  <c:v>5.6634743154575437E-2</c:v>
                </c:pt>
                <c:pt idx="22">
                  <c:v>7.6345931048172375E-2</c:v>
                </c:pt>
                <c:pt idx="23">
                  <c:v>1.2845568737555855E-2</c:v>
                </c:pt>
                <c:pt idx="24">
                  <c:v>1.7943326802695083E-2</c:v>
                </c:pt>
                <c:pt idx="25">
                  <c:v>7.4017053529133112E-3</c:v>
                </c:pt>
                <c:pt idx="26">
                  <c:v>1.012658612152207E-2</c:v>
                </c:pt>
                <c:pt idx="27">
                  <c:v>4.3443317331711445E-2</c:v>
                </c:pt>
                <c:pt idx="28">
                  <c:v>6.0606060606060606E-3</c:v>
                </c:pt>
                <c:pt idx="29">
                  <c:v>8.6979124498779162E-2</c:v>
                </c:pt>
                <c:pt idx="30">
                  <c:v>2.3052611632905146E-2</c:v>
                </c:pt>
                <c:pt idx="31">
                  <c:v>7.3761794028813513E-2</c:v>
                </c:pt>
                <c:pt idx="32">
                  <c:v>3.5726116698060507E-2</c:v>
                </c:pt>
                <c:pt idx="33">
                  <c:v>2.8484266715279815E-3</c:v>
                </c:pt>
                <c:pt idx="34">
                  <c:v>2.069452234638593E-2</c:v>
                </c:pt>
                <c:pt idx="35">
                  <c:v>3.9448700200871052E-3</c:v>
                </c:pt>
                <c:pt idx="36">
                  <c:v>0.16344666069027342</c:v>
                </c:pt>
                <c:pt idx="37">
                  <c:v>0</c:v>
                </c:pt>
                <c:pt idx="38">
                  <c:v>2.8033987424903373E-2</c:v>
                </c:pt>
                <c:pt idx="39">
                  <c:v>8.1383519837232958E-3</c:v>
                </c:pt>
                <c:pt idx="40">
                  <c:v>5.7061396559161495E-2</c:v>
                </c:pt>
                <c:pt idx="41">
                  <c:v>7.7188664732896192E-2</c:v>
                </c:pt>
                <c:pt idx="42">
                  <c:v>8.1001368170391649E-2</c:v>
                </c:pt>
                <c:pt idx="43">
                  <c:v>1.5516445891275954E-2</c:v>
                </c:pt>
                <c:pt idx="44">
                  <c:v>0.10744485248544147</c:v>
                </c:pt>
                <c:pt idx="45">
                  <c:v>8.1284110296285045E-2</c:v>
                </c:pt>
                <c:pt idx="46">
                  <c:v>1.4423093277273763E-2</c:v>
                </c:pt>
                <c:pt idx="47">
                  <c:v>6.3021870571139685E-2</c:v>
                </c:pt>
                <c:pt idx="48">
                  <c:v>0.11183195447877999</c:v>
                </c:pt>
              </c:numCache>
            </c:numRef>
          </c:val>
          <c:extLst>
            <c:ext xmlns:c16="http://schemas.microsoft.com/office/drawing/2014/chart" uri="{C3380CC4-5D6E-409C-BE32-E72D297353CC}">
              <c16:uniqueId val="{00000009-F54E-46E3-9DF5-8E3C1EB642E5}"/>
            </c:ext>
          </c:extLst>
        </c:ser>
        <c:dLbls>
          <c:showLegendKey val="0"/>
          <c:showVal val="0"/>
          <c:showCatName val="0"/>
          <c:showSerName val="0"/>
          <c:showPercent val="0"/>
          <c:showBubbleSize val="0"/>
        </c:dLbls>
        <c:gapWidth val="219"/>
        <c:overlap val="-27"/>
        <c:axId val="55998191"/>
        <c:axId val="55996943"/>
        <c:extLst/>
      </c:barChart>
      <c:catAx>
        <c:axId val="5599819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a:t>
            </a:r>
            <a:r>
              <a:rPr lang="it-IT" baseline="0"/>
              <a:t> delle emissioni specifiche (SOx)</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0"/>
          <c:order val="0"/>
          <c:tx>
            <c:v>2011</c:v>
          </c:tx>
          <c:spPr>
            <a:solidFill>
              <a:schemeClr val="accent1"/>
            </a:solidFill>
            <a:ln>
              <a:noFill/>
            </a:ln>
            <a:effectLst/>
          </c:spPr>
          <c:invertIfNegative val="0"/>
          <c:val>
            <c:numRef>
              <c:f>'Analisi dati, formula corretta'!$DM$4:$DM$52</c:f>
              <c:numCache>
                <c:formatCode>#,##0.00000</c:formatCode>
                <c:ptCount val="49"/>
                <c:pt idx="0">
                  <c:v>0</c:v>
                </c:pt>
                <c:pt idx="1">
                  <c:v>0</c:v>
                </c:pt>
                <c:pt idx="2">
                  <c:v>0.16306099618892322</c:v>
                </c:pt>
                <c:pt idx="3">
                  <c:v>0</c:v>
                </c:pt>
                <c:pt idx="4">
                  <c:v>0.32914923291492332</c:v>
                </c:pt>
                <c:pt idx="5">
                  <c:v>2.9E-4</c:v>
                </c:pt>
                <c:pt idx="6">
                  <c:v>1.0903614457831325</c:v>
                </c:pt>
                <c:pt idx="7">
                  <c:v>0</c:v>
                </c:pt>
                <c:pt idx="8">
                  <c:v>0.38</c:v>
                </c:pt>
                <c:pt idx="9">
                  <c:v>0</c:v>
                </c:pt>
                <c:pt idx="10">
                  <c:v>0</c:v>
                </c:pt>
                <c:pt idx="11">
                  <c:v>0</c:v>
                </c:pt>
                <c:pt idx="12" formatCode="#,##0.0000000000">
                  <c:v>1.1884953648680771E-6</c:v>
                </c:pt>
                <c:pt idx="13">
                  <c:v>0.98096859986534535</c:v>
                </c:pt>
                <c:pt idx="14">
                  <c:v>0.79339250493096647</c:v>
                </c:pt>
                <c:pt idx="15">
                  <c:v>0</c:v>
                </c:pt>
                <c:pt idx="16">
                  <c:v>0</c:v>
                </c:pt>
                <c:pt idx="17">
                  <c:v>0</c:v>
                </c:pt>
                <c:pt idx="18">
                  <c:v>0</c:v>
                </c:pt>
                <c:pt idx="19">
                  <c:v>0</c:v>
                </c:pt>
                <c:pt idx="20">
                  <c:v>0</c:v>
                </c:pt>
                <c:pt idx="21">
                  <c:v>0</c:v>
                </c:pt>
                <c:pt idx="22">
                  <c:v>0</c:v>
                </c:pt>
                <c:pt idx="23">
                  <c:v>0</c:v>
                </c:pt>
                <c:pt idx="24">
                  <c:v>0</c:v>
                </c:pt>
                <c:pt idx="25">
                  <c:v>0</c:v>
                </c:pt>
                <c:pt idx="26">
                  <c:v>1.3077991951265249E-3</c:v>
                </c:pt>
                <c:pt idx="27">
                  <c:v>0</c:v>
                </c:pt>
                <c:pt idx="28">
                  <c:v>0</c:v>
                </c:pt>
                <c:pt idx="29">
                  <c:v>0</c:v>
                </c:pt>
                <c:pt idx="30">
                  <c:v>0</c:v>
                </c:pt>
                <c:pt idx="31">
                  <c:v>2.493683350053877E-3</c:v>
                </c:pt>
                <c:pt idx="32">
                  <c:v>0.25531367086292933</c:v>
                </c:pt>
                <c:pt idx="33">
                  <c:v>0</c:v>
                </c:pt>
                <c:pt idx="34">
                  <c:v>0</c:v>
                </c:pt>
                <c:pt idx="35">
                  <c:v>0</c:v>
                </c:pt>
                <c:pt idx="36">
                  <c:v>0</c:v>
                </c:pt>
                <c:pt idx="37">
                  <c:v>0</c:v>
                </c:pt>
                <c:pt idx="38">
                  <c:v>0</c:v>
                </c:pt>
                <c:pt idx="39">
                  <c:v>0</c:v>
                </c:pt>
                <c:pt idx="40">
                  <c:v>0</c:v>
                </c:pt>
                <c:pt idx="41">
                  <c:v>0.60264338920847926</c:v>
                </c:pt>
                <c:pt idx="42">
                  <c:v>0</c:v>
                </c:pt>
                <c:pt idx="43">
                  <c:v>0.12156106907985337</c:v>
                </c:pt>
                <c:pt idx="44">
                  <c:v>0</c:v>
                </c:pt>
                <c:pt idx="45">
                  <c:v>0</c:v>
                </c:pt>
                <c:pt idx="46">
                  <c:v>0</c:v>
                </c:pt>
                <c:pt idx="47">
                  <c:v>0</c:v>
                </c:pt>
                <c:pt idx="48">
                  <c:v>0</c:v>
                </c:pt>
              </c:numCache>
            </c:numRef>
          </c:val>
          <c:extLst>
            <c:ext xmlns:c16="http://schemas.microsoft.com/office/drawing/2014/chart" uri="{C3380CC4-5D6E-409C-BE32-E72D297353CC}">
              <c16:uniqueId val="{00000001-CB01-43B8-A4A9-12EE3D6274BA}"/>
            </c:ext>
          </c:extLst>
        </c:ser>
        <c:ser>
          <c:idx val="1"/>
          <c:order val="1"/>
          <c:tx>
            <c:v>2012</c:v>
          </c:tx>
          <c:spPr>
            <a:solidFill>
              <a:schemeClr val="accent2"/>
            </a:solidFill>
            <a:ln>
              <a:noFill/>
            </a:ln>
            <a:effectLst/>
          </c:spPr>
          <c:invertIfNegative val="0"/>
          <c:val>
            <c:numRef>
              <c:f>'Analisi dati, formula corretta'!$DN$4:$DN$52</c:f>
              <c:numCache>
                <c:formatCode>#,##0.00000</c:formatCode>
                <c:ptCount val="49"/>
                <c:pt idx="0">
                  <c:v>0</c:v>
                </c:pt>
                <c:pt idx="1">
                  <c:v>0</c:v>
                </c:pt>
                <c:pt idx="2">
                  <c:v>0.16440981925020143</c:v>
                </c:pt>
                <c:pt idx="3">
                  <c:v>0</c:v>
                </c:pt>
                <c:pt idx="4">
                  <c:v>0.265474552957359</c:v>
                </c:pt>
                <c:pt idx="5">
                  <c:v>1.1E-4</c:v>
                </c:pt>
                <c:pt idx="6">
                  <c:v>1.6467181467181466</c:v>
                </c:pt>
                <c:pt idx="7">
                  <c:v>0</c:v>
                </c:pt>
                <c:pt idx="8">
                  <c:v>0.39</c:v>
                </c:pt>
                <c:pt idx="9">
                  <c:v>0</c:v>
                </c:pt>
                <c:pt idx="10">
                  <c:v>0</c:v>
                </c:pt>
                <c:pt idx="11">
                  <c:v>0</c:v>
                </c:pt>
                <c:pt idx="12">
                  <c:v>7.1359380045205043E-3</c:v>
                </c:pt>
                <c:pt idx="13">
                  <c:v>1.0286930013806828</c:v>
                </c:pt>
                <c:pt idx="14">
                  <c:v>0.9826041117554033</c:v>
                </c:pt>
                <c:pt idx="15">
                  <c:v>0</c:v>
                </c:pt>
                <c:pt idx="16">
                  <c:v>0</c:v>
                </c:pt>
                <c:pt idx="17">
                  <c:v>0</c:v>
                </c:pt>
                <c:pt idx="18">
                  <c:v>0</c:v>
                </c:pt>
                <c:pt idx="19">
                  <c:v>0</c:v>
                </c:pt>
                <c:pt idx="20">
                  <c:v>0</c:v>
                </c:pt>
                <c:pt idx="21">
                  <c:v>0</c:v>
                </c:pt>
                <c:pt idx="22">
                  <c:v>0</c:v>
                </c:pt>
                <c:pt idx="23">
                  <c:v>0</c:v>
                </c:pt>
                <c:pt idx="24">
                  <c:v>0</c:v>
                </c:pt>
                <c:pt idx="25">
                  <c:v>0</c:v>
                </c:pt>
                <c:pt idx="26">
                  <c:v>3.0868577916548399E-3</c:v>
                </c:pt>
                <c:pt idx="27">
                  <c:v>0</c:v>
                </c:pt>
                <c:pt idx="28">
                  <c:v>0</c:v>
                </c:pt>
                <c:pt idx="29">
                  <c:v>0</c:v>
                </c:pt>
                <c:pt idx="30">
                  <c:v>0</c:v>
                </c:pt>
                <c:pt idx="31">
                  <c:v>3.436932538849702E-3</c:v>
                </c:pt>
                <c:pt idx="32">
                  <c:v>0.40171165717183321</c:v>
                </c:pt>
                <c:pt idx="33">
                  <c:v>0</c:v>
                </c:pt>
                <c:pt idx="34">
                  <c:v>0</c:v>
                </c:pt>
                <c:pt idx="35">
                  <c:v>0</c:v>
                </c:pt>
                <c:pt idx="36">
                  <c:v>0</c:v>
                </c:pt>
                <c:pt idx="37">
                  <c:v>0</c:v>
                </c:pt>
                <c:pt idx="38">
                  <c:v>0</c:v>
                </c:pt>
                <c:pt idx="39">
                  <c:v>0</c:v>
                </c:pt>
                <c:pt idx="40">
                  <c:v>0</c:v>
                </c:pt>
                <c:pt idx="41">
                  <c:v>0.58634173029174763</c:v>
                </c:pt>
                <c:pt idx="42">
                  <c:v>0</c:v>
                </c:pt>
                <c:pt idx="43">
                  <c:v>8.6662001955089468E-2</c:v>
                </c:pt>
                <c:pt idx="44">
                  <c:v>0</c:v>
                </c:pt>
                <c:pt idx="45">
                  <c:v>0</c:v>
                </c:pt>
                <c:pt idx="46">
                  <c:v>0</c:v>
                </c:pt>
                <c:pt idx="47">
                  <c:v>0</c:v>
                </c:pt>
                <c:pt idx="48">
                  <c:v>0</c:v>
                </c:pt>
              </c:numCache>
            </c:numRef>
          </c:val>
          <c:extLst>
            <c:ext xmlns:c16="http://schemas.microsoft.com/office/drawing/2014/chart" uri="{C3380CC4-5D6E-409C-BE32-E72D297353CC}">
              <c16:uniqueId val="{00000002-CB01-43B8-A4A9-12EE3D6274BA}"/>
            </c:ext>
          </c:extLst>
        </c:ser>
        <c:ser>
          <c:idx val="2"/>
          <c:order val="2"/>
          <c:tx>
            <c:v>2013</c:v>
          </c:tx>
          <c:spPr>
            <a:solidFill>
              <a:schemeClr val="accent3"/>
            </a:solidFill>
            <a:ln>
              <a:noFill/>
            </a:ln>
            <a:effectLst/>
          </c:spPr>
          <c:invertIfNegative val="0"/>
          <c:val>
            <c:numRef>
              <c:f>'Analisi dati, formula corretta'!$DO$4:$DO$52</c:f>
              <c:numCache>
                <c:formatCode>#,##0.00000</c:formatCode>
                <c:ptCount val="49"/>
                <c:pt idx="0">
                  <c:v>0</c:v>
                </c:pt>
                <c:pt idx="1">
                  <c:v>0</c:v>
                </c:pt>
                <c:pt idx="2">
                  <c:v>0.14143989374550653</c:v>
                </c:pt>
                <c:pt idx="3">
                  <c:v>0</c:v>
                </c:pt>
                <c:pt idx="4">
                  <c:v>0.18994413407821228</c:v>
                </c:pt>
                <c:pt idx="5">
                  <c:v>7.5833080556398145E-5</c:v>
                </c:pt>
                <c:pt idx="6">
                  <c:v>1.3549868766404201</c:v>
                </c:pt>
                <c:pt idx="7">
                  <c:v>0</c:v>
                </c:pt>
                <c:pt idx="8">
                  <c:v>0.4349137931034483</c:v>
                </c:pt>
                <c:pt idx="9">
                  <c:v>0</c:v>
                </c:pt>
                <c:pt idx="10">
                  <c:v>0</c:v>
                </c:pt>
                <c:pt idx="11">
                  <c:v>0</c:v>
                </c:pt>
                <c:pt idx="12">
                  <c:v>0</c:v>
                </c:pt>
                <c:pt idx="13">
                  <c:v>0.96804139138403433</c:v>
                </c:pt>
                <c:pt idx="14">
                  <c:v>0.95203698353077149</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2.7371036101807031E-3</c:v>
                </c:pt>
                <c:pt idx="32">
                  <c:v>0.28952262727288791</c:v>
                </c:pt>
                <c:pt idx="33">
                  <c:v>0</c:v>
                </c:pt>
                <c:pt idx="34">
                  <c:v>0</c:v>
                </c:pt>
                <c:pt idx="35">
                  <c:v>0</c:v>
                </c:pt>
                <c:pt idx="36">
                  <c:v>0</c:v>
                </c:pt>
                <c:pt idx="37">
                  <c:v>0</c:v>
                </c:pt>
                <c:pt idx="38">
                  <c:v>0</c:v>
                </c:pt>
                <c:pt idx="39">
                  <c:v>0</c:v>
                </c:pt>
                <c:pt idx="40">
                  <c:v>0</c:v>
                </c:pt>
                <c:pt idx="41">
                  <c:v>0.46222323686097494</c:v>
                </c:pt>
                <c:pt idx="42">
                  <c:v>0</c:v>
                </c:pt>
                <c:pt idx="43">
                  <c:v>5.2597354203390297E-2</c:v>
                </c:pt>
                <c:pt idx="44">
                  <c:v>0</c:v>
                </c:pt>
                <c:pt idx="45">
                  <c:v>0</c:v>
                </c:pt>
                <c:pt idx="46">
                  <c:v>0</c:v>
                </c:pt>
                <c:pt idx="47">
                  <c:v>0</c:v>
                </c:pt>
                <c:pt idx="48">
                  <c:v>0</c:v>
                </c:pt>
              </c:numCache>
            </c:numRef>
          </c:val>
          <c:extLst>
            <c:ext xmlns:c16="http://schemas.microsoft.com/office/drawing/2014/chart" uri="{C3380CC4-5D6E-409C-BE32-E72D297353CC}">
              <c16:uniqueId val="{00000003-CB01-43B8-A4A9-12EE3D6274BA}"/>
            </c:ext>
          </c:extLst>
        </c:ser>
        <c:ser>
          <c:idx val="3"/>
          <c:order val="3"/>
          <c:tx>
            <c:v>2014</c:v>
          </c:tx>
          <c:spPr>
            <a:solidFill>
              <a:schemeClr val="accent4"/>
            </a:solidFill>
            <a:ln>
              <a:noFill/>
            </a:ln>
            <a:effectLst/>
          </c:spPr>
          <c:invertIfNegative val="0"/>
          <c:val>
            <c:numRef>
              <c:f>'Analisi dati, formula corretta'!$DP$4:$DP$52</c:f>
              <c:numCache>
                <c:formatCode>#,##0.00000</c:formatCode>
                <c:ptCount val="49"/>
                <c:pt idx="0">
                  <c:v>0</c:v>
                </c:pt>
                <c:pt idx="1">
                  <c:v>0</c:v>
                </c:pt>
                <c:pt idx="2">
                  <c:v>0.16285745543505409</c:v>
                </c:pt>
                <c:pt idx="3">
                  <c:v>0</c:v>
                </c:pt>
                <c:pt idx="4">
                  <c:v>0.2414448669201521</c:v>
                </c:pt>
                <c:pt idx="5">
                  <c:v>0</c:v>
                </c:pt>
                <c:pt idx="6">
                  <c:v>1.0808823529411764</c:v>
                </c:pt>
                <c:pt idx="7">
                  <c:v>0</c:v>
                </c:pt>
                <c:pt idx="8">
                  <c:v>0.35</c:v>
                </c:pt>
                <c:pt idx="9">
                  <c:v>0</c:v>
                </c:pt>
                <c:pt idx="10">
                  <c:v>0</c:v>
                </c:pt>
                <c:pt idx="11">
                  <c:v>0</c:v>
                </c:pt>
                <c:pt idx="12">
                  <c:v>0</c:v>
                </c:pt>
                <c:pt idx="13">
                  <c:v>0.744323733283759</c:v>
                </c:pt>
                <c:pt idx="14">
                  <c:v>0.91713747645951038</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7.4783554746408552E-3</c:v>
                </c:pt>
                <c:pt idx="32">
                  <c:v>0.36539243992188564</c:v>
                </c:pt>
                <c:pt idx="33">
                  <c:v>0</c:v>
                </c:pt>
                <c:pt idx="34">
                  <c:v>0</c:v>
                </c:pt>
                <c:pt idx="35">
                  <c:v>0</c:v>
                </c:pt>
                <c:pt idx="36">
                  <c:v>0</c:v>
                </c:pt>
                <c:pt idx="37">
                  <c:v>0</c:v>
                </c:pt>
                <c:pt idx="38">
                  <c:v>0</c:v>
                </c:pt>
                <c:pt idx="39">
                  <c:v>0</c:v>
                </c:pt>
                <c:pt idx="40">
                  <c:v>0</c:v>
                </c:pt>
                <c:pt idx="41">
                  <c:v>0.43192500150113361</c:v>
                </c:pt>
                <c:pt idx="42">
                  <c:v>0</c:v>
                </c:pt>
                <c:pt idx="43">
                  <c:v>1.502583502330399E-2</c:v>
                </c:pt>
                <c:pt idx="44">
                  <c:v>0</c:v>
                </c:pt>
                <c:pt idx="45">
                  <c:v>0</c:v>
                </c:pt>
                <c:pt idx="46">
                  <c:v>0</c:v>
                </c:pt>
                <c:pt idx="47">
                  <c:v>0</c:v>
                </c:pt>
                <c:pt idx="48">
                  <c:v>0</c:v>
                </c:pt>
              </c:numCache>
            </c:numRef>
          </c:val>
          <c:extLst>
            <c:ext xmlns:c16="http://schemas.microsoft.com/office/drawing/2014/chart" uri="{C3380CC4-5D6E-409C-BE32-E72D297353CC}">
              <c16:uniqueId val="{00000004-CB01-43B8-A4A9-12EE3D6274BA}"/>
            </c:ext>
          </c:extLst>
        </c:ser>
        <c:ser>
          <c:idx val="4"/>
          <c:order val="4"/>
          <c:tx>
            <c:v>2015</c:v>
          </c:tx>
          <c:spPr>
            <a:solidFill>
              <a:schemeClr val="accent5"/>
            </a:solidFill>
            <a:ln>
              <a:noFill/>
            </a:ln>
            <a:effectLst/>
          </c:spPr>
          <c:invertIfNegative val="0"/>
          <c:val>
            <c:numRef>
              <c:f>'Analisi dati, formula corretta'!$DQ$4:$DQ$52</c:f>
              <c:numCache>
                <c:formatCode>#,##0.00000</c:formatCode>
                <c:ptCount val="49"/>
                <c:pt idx="0">
                  <c:v>0</c:v>
                </c:pt>
                <c:pt idx="1">
                  <c:v>0</c:v>
                </c:pt>
                <c:pt idx="2">
                  <c:v>0.16187986597713455</c:v>
                </c:pt>
                <c:pt idx="3">
                  <c:v>0</c:v>
                </c:pt>
                <c:pt idx="4">
                  <c:v>0.23578595317725753</c:v>
                </c:pt>
                <c:pt idx="5">
                  <c:v>0</c:v>
                </c:pt>
                <c:pt idx="6">
                  <c:v>1.1080657791699295</c:v>
                </c:pt>
                <c:pt idx="7">
                  <c:v>0</c:v>
                </c:pt>
                <c:pt idx="8">
                  <c:v>0.37</c:v>
                </c:pt>
                <c:pt idx="9">
                  <c:v>0</c:v>
                </c:pt>
                <c:pt idx="10">
                  <c:v>0</c:v>
                </c:pt>
                <c:pt idx="11">
                  <c:v>0</c:v>
                </c:pt>
                <c:pt idx="12">
                  <c:v>0</c:v>
                </c:pt>
                <c:pt idx="13">
                  <c:v>0.55505377849991477</c:v>
                </c:pt>
                <c:pt idx="14">
                  <c:v>0.81959430297798874</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5.9886635575633982E-3</c:v>
                </c:pt>
                <c:pt idx="32">
                  <c:v>0.34882192280216784</c:v>
                </c:pt>
                <c:pt idx="33">
                  <c:v>0</c:v>
                </c:pt>
                <c:pt idx="34">
                  <c:v>0</c:v>
                </c:pt>
                <c:pt idx="35">
                  <c:v>0</c:v>
                </c:pt>
                <c:pt idx="36">
                  <c:v>0.12430059631437622</c:v>
                </c:pt>
                <c:pt idx="37">
                  <c:v>0</c:v>
                </c:pt>
                <c:pt idx="38">
                  <c:v>0</c:v>
                </c:pt>
                <c:pt idx="39">
                  <c:v>0</c:v>
                </c:pt>
                <c:pt idx="40">
                  <c:v>0</c:v>
                </c:pt>
                <c:pt idx="41">
                  <c:v>0.41405992118116924</c:v>
                </c:pt>
                <c:pt idx="42">
                  <c:v>0</c:v>
                </c:pt>
                <c:pt idx="43">
                  <c:v>1.5936872010324052E-2</c:v>
                </c:pt>
                <c:pt idx="44">
                  <c:v>0</c:v>
                </c:pt>
                <c:pt idx="45">
                  <c:v>0</c:v>
                </c:pt>
                <c:pt idx="46">
                  <c:v>0</c:v>
                </c:pt>
                <c:pt idx="47">
                  <c:v>0</c:v>
                </c:pt>
                <c:pt idx="48">
                  <c:v>0</c:v>
                </c:pt>
              </c:numCache>
            </c:numRef>
          </c:val>
          <c:extLst>
            <c:ext xmlns:c16="http://schemas.microsoft.com/office/drawing/2014/chart" uri="{C3380CC4-5D6E-409C-BE32-E72D297353CC}">
              <c16:uniqueId val="{00000005-CB01-43B8-A4A9-12EE3D6274BA}"/>
            </c:ext>
          </c:extLst>
        </c:ser>
        <c:ser>
          <c:idx val="5"/>
          <c:order val="5"/>
          <c:tx>
            <c:v>2016</c:v>
          </c:tx>
          <c:spPr>
            <a:solidFill>
              <a:schemeClr val="accent6"/>
            </a:solidFill>
            <a:ln>
              <a:noFill/>
            </a:ln>
            <a:effectLst/>
          </c:spPr>
          <c:invertIfNegative val="0"/>
          <c:val>
            <c:numRef>
              <c:f>'Analisi dati, formula corretta'!$DR$4:$DR$52</c:f>
              <c:numCache>
                <c:formatCode>#,##0.00000</c:formatCode>
                <c:ptCount val="49"/>
                <c:pt idx="0">
                  <c:v>0</c:v>
                </c:pt>
                <c:pt idx="1">
                  <c:v>0</c:v>
                </c:pt>
                <c:pt idx="2">
                  <c:v>0.18224707321334965</c:v>
                </c:pt>
                <c:pt idx="3">
                  <c:v>0</c:v>
                </c:pt>
                <c:pt idx="4">
                  <c:v>0.24861995753715499</c:v>
                </c:pt>
                <c:pt idx="5">
                  <c:v>0</c:v>
                </c:pt>
                <c:pt idx="6">
                  <c:v>0.6472491909385113</c:v>
                </c:pt>
                <c:pt idx="7">
                  <c:v>0</c:v>
                </c:pt>
                <c:pt idx="8">
                  <c:v>0.42575530319262911</c:v>
                </c:pt>
                <c:pt idx="9">
                  <c:v>0</c:v>
                </c:pt>
                <c:pt idx="10">
                  <c:v>0</c:v>
                </c:pt>
                <c:pt idx="11">
                  <c:v>0</c:v>
                </c:pt>
                <c:pt idx="12">
                  <c:v>0</c:v>
                </c:pt>
                <c:pt idx="13">
                  <c:v>0.43624858975966085</c:v>
                </c:pt>
                <c:pt idx="14">
                  <c:v>0.55419722901385493</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5.4251136022683078E-3</c:v>
                </c:pt>
                <c:pt idx="32">
                  <c:v>0.36927964982413419</c:v>
                </c:pt>
                <c:pt idx="33">
                  <c:v>0</c:v>
                </c:pt>
                <c:pt idx="34">
                  <c:v>0</c:v>
                </c:pt>
                <c:pt idx="35">
                  <c:v>0</c:v>
                </c:pt>
                <c:pt idx="36">
                  <c:v>0.14383429823722441</c:v>
                </c:pt>
                <c:pt idx="37">
                  <c:v>0</c:v>
                </c:pt>
                <c:pt idx="38">
                  <c:v>0</c:v>
                </c:pt>
                <c:pt idx="39">
                  <c:v>0</c:v>
                </c:pt>
                <c:pt idx="40">
                  <c:v>0</c:v>
                </c:pt>
                <c:pt idx="41">
                  <c:v>0.351986526266025</c:v>
                </c:pt>
                <c:pt idx="42">
                  <c:v>0</c:v>
                </c:pt>
                <c:pt idx="43">
                  <c:v>1.6156978225936747E-2</c:v>
                </c:pt>
                <c:pt idx="44">
                  <c:v>0</c:v>
                </c:pt>
                <c:pt idx="45">
                  <c:v>0</c:v>
                </c:pt>
                <c:pt idx="46">
                  <c:v>0</c:v>
                </c:pt>
                <c:pt idx="47">
                  <c:v>0</c:v>
                </c:pt>
                <c:pt idx="48">
                  <c:v>0</c:v>
                </c:pt>
              </c:numCache>
            </c:numRef>
          </c:val>
          <c:extLst>
            <c:ext xmlns:c16="http://schemas.microsoft.com/office/drawing/2014/chart" uri="{C3380CC4-5D6E-409C-BE32-E72D297353CC}">
              <c16:uniqueId val="{00000006-CB01-43B8-A4A9-12EE3D6274BA}"/>
            </c:ext>
          </c:extLst>
        </c:ser>
        <c:ser>
          <c:idx val="6"/>
          <c:order val="6"/>
          <c:tx>
            <c:v>2017</c:v>
          </c:tx>
          <c:spPr>
            <a:solidFill>
              <a:schemeClr val="accent1">
                <a:lumMod val="60000"/>
              </a:schemeClr>
            </a:solidFill>
            <a:ln>
              <a:noFill/>
            </a:ln>
            <a:effectLst/>
          </c:spPr>
          <c:invertIfNegative val="0"/>
          <c:val>
            <c:numRef>
              <c:f>'Analisi dati, formula corretta'!$DS$4:$DS$52</c:f>
              <c:numCache>
                <c:formatCode>#,##0.00000</c:formatCode>
                <c:ptCount val="49"/>
                <c:pt idx="0">
                  <c:v>0</c:v>
                </c:pt>
                <c:pt idx="1">
                  <c:v>0</c:v>
                </c:pt>
                <c:pt idx="2">
                  <c:v>0.17087290818634102</c:v>
                </c:pt>
                <c:pt idx="3">
                  <c:v>0</c:v>
                </c:pt>
                <c:pt idx="4">
                  <c:v>0.21</c:v>
                </c:pt>
                <c:pt idx="5">
                  <c:v>0</c:v>
                </c:pt>
                <c:pt idx="6">
                  <c:v>0.40775063184498739</c:v>
                </c:pt>
                <c:pt idx="7">
                  <c:v>0</c:v>
                </c:pt>
                <c:pt idx="8">
                  <c:v>0.27453580901856767</c:v>
                </c:pt>
                <c:pt idx="9">
                  <c:v>0</c:v>
                </c:pt>
                <c:pt idx="10">
                  <c:v>0</c:v>
                </c:pt>
                <c:pt idx="11">
                  <c:v>0</c:v>
                </c:pt>
                <c:pt idx="12">
                  <c:v>0</c:v>
                </c:pt>
                <c:pt idx="13">
                  <c:v>0.4368368991609719</c:v>
                </c:pt>
                <c:pt idx="14">
                  <c:v>0.49509116409537168</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3.2282337794518699E-3</c:v>
                </c:pt>
                <c:pt idx="32">
                  <c:v>0.27482972873564515</c:v>
                </c:pt>
                <c:pt idx="33">
                  <c:v>0</c:v>
                </c:pt>
                <c:pt idx="34">
                  <c:v>0</c:v>
                </c:pt>
                <c:pt idx="35">
                  <c:v>0</c:v>
                </c:pt>
                <c:pt idx="36">
                  <c:v>0.17238755997255387</c:v>
                </c:pt>
                <c:pt idx="37">
                  <c:v>0</c:v>
                </c:pt>
                <c:pt idx="38">
                  <c:v>0</c:v>
                </c:pt>
                <c:pt idx="39">
                  <c:v>0</c:v>
                </c:pt>
                <c:pt idx="40">
                  <c:v>0</c:v>
                </c:pt>
                <c:pt idx="41">
                  <c:v>0.27043208323177709</c:v>
                </c:pt>
                <c:pt idx="42">
                  <c:v>0</c:v>
                </c:pt>
                <c:pt idx="43">
                  <c:v>1.5773902978362911E-2</c:v>
                </c:pt>
                <c:pt idx="44">
                  <c:v>0</c:v>
                </c:pt>
                <c:pt idx="45">
                  <c:v>0</c:v>
                </c:pt>
                <c:pt idx="46">
                  <c:v>0</c:v>
                </c:pt>
                <c:pt idx="47">
                  <c:v>0</c:v>
                </c:pt>
                <c:pt idx="48">
                  <c:v>0</c:v>
                </c:pt>
              </c:numCache>
            </c:numRef>
          </c:val>
          <c:extLst>
            <c:ext xmlns:c16="http://schemas.microsoft.com/office/drawing/2014/chart" uri="{C3380CC4-5D6E-409C-BE32-E72D297353CC}">
              <c16:uniqueId val="{00000007-CB01-43B8-A4A9-12EE3D6274BA}"/>
            </c:ext>
          </c:extLst>
        </c:ser>
        <c:ser>
          <c:idx val="7"/>
          <c:order val="7"/>
          <c:tx>
            <c:v>2018</c:v>
          </c:tx>
          <c:spPr>
            <a:solidFill>
              <a:schemeClr val="accent2">
                <a:lumMod val="60000"/>
              </a:schemeClr>
            </a:solidFill>
            <a:ln>
              <a:noFill/>
            </a:ln>
            <a:effectLst/>
          </c:spPr>
          <c:invertIfNegative val="0"/>
          <c:val>
            <c:numRef>
              <c:f>'Analisi dati, formula corretta'!$DT$4:$DT$52</c:f>
              <c:numCache>
                <c:formatCode>#,##0.00000</c:formatCode>
                <c:ptCount val="49"/>
                <c:pt idx="0">
                  <c:v>0</c:v>
                </c:pt>
                <c:pt idx="1">
                  <c:v>0</c:v>
                </c:pt>
                <c:pt idx="2">
                  <c:v>0.20458715596330276</c:v>
                </c:pt>
                <c:pt idx="3">
                  <c:v>0</c:v>
                </c:pt>
                <c:pt idx="4">
                  <c:v>0.23</c:v>
                </c:pt>
                <c:pt idx="5">
                  <c:v>0</c:v>
                </c:pt>
                <c:pt idx="6">
                  <c:v>0.59599636032757053</c:v>
                </c:pt>
                <c:pt idx="7">
                  <c:v>0</c:v>
                </c:pt>
                <c:pt idx="8">
                  <c:v>0.26990291262135924</c:v>
                </c:pt>
                <c:pt idx="9">
                  <c:v>0</c:v>
                </c:pt>
                <c:pt idx="10">
                  <c:v>0</c:v>
                </c:pt>
                <c:pt idx="11">
                  <c:v>0</c:v>
                </c:pt>
                <c:pt idx="12">
                  <c:v>0</c:v>
                </c:pt>
                <c:pt idx="13">
                  <c:v>0.50382068424452797</c:v>
                </c:pt>
                <c:pt idx="14">
                  <c:v>0.43791054113231154</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4.2137333855966925E-3</c:v>
                </c:pt>
                <c:pt idx="32">
                  <c:v>0.33088887660681093</c:v>
                </c:pt>
                <c:pt idx="33">
                  <c:v>0</c:v>
                </c:pt>
                <c:pt idx="34">
                  <c:v>0</c:v>
                </c:pt>
                <c:pt idx="35">
                  <c:v>0</c:v>
                </c:pt>
                <c:pt idx="36">
                  <c:v>0.11692196243005595</c:v>
                </c:pt>
                <c:pt idx="37">
                  <c:v>0</c:v>
                </c:pt>
                <c:pt idx="38">
                  <c:v>0</c:v>
                </c:pt>
                <c:pt idx="39">
                  <c:v>0</c:v>
                </c:pt>
                <c:pt idx="40">
                  <c:v>0</c:v>
                </c:pt>
                <c:pt idx="41">
                  <c:v>0.28696005675432235</c:v>
                </c:pt>
                <c:pt idx="42">
                  <c:v>0</c:v>
                </c:pt>
                <c:pt idx="43">
                  <c:v>1.338536994905243E-2</c:v>
                </c:pt>
                <c:pt idx="44">
                  <c:v>0</c:v>
                </c:pt>
                <c:pt idx="45">
                  <c:v>0</c:v>
                </c:pt>
                <c:pt idx="46">
                  <c:v>0</c:v>
                </c:pt>
                <c:pt idx="47">
                  <c:v>0</c:v>
                </c:pt>
                <c:pt idx="48">
                  <c:v>0</c:v>
                </c:pt>
              </c:numCache>
            </c:numRef>
          </c:val>
          <c:extLst>
            <c:ext xmlns:c16="http://schemas.microsoft.com/office/drawing/2014/chart" uri="{C3380CC4-5D6E-409C-BE32-E72D297353CC}">
              <c16:uniqueId val="{00000008-CB01-43B8-A4A9-12EE3D6274BA}"/>
            </c:ext>
          </c:extLst>
        </c:ser>
        <c:ser>
          <c:idx val="8"/>
          <c:order val="8"/>
          <c:tx>
            <c:v>2019</c:v>
          </c:tx>
          <c:spPr>
            <a:solidFill>
              <a:schemeClr val="accent3">
                <a:lumMod val="60000"/>
              </a:schemeClr>
            </a:solidFill>
            <a:ln>
              <a:noFill/>
            </a:ln>
            <a:effectLst/>
          </c:spPr>
          <c:invertIfNegative val="0"/>
          <c:val>
            <c:numRef>
              <c:f>'Analisi dati, formula corretta'!$DU$4:$DU$52</c:f>
              <c:numCache>
                <c:formatCode>#,##0.00000</c:formatCode>
                <c:ptCount val="49"/>
                <c:pt idx="0">
                  <c:v>0</c:v>
                </c:pt>
                <c:pt idx="1">
                  <c:v>0</c:v>
                </c:pt>
                <c:pt idx="2">
                  <c:v>0.20392783740580042</c:v>
                </c:pt>
                <c:pt idx="3">
                  <c:v>0</c:v>
                </c:pt>
                <c:pt idx="4">
                  <c:v>0.23</c:v>
                </c:pt>
                <c:pt idx="5">
                  <c:v>0</c:v>
                </c:pt>
                <c:pt idx="6">
                  <c:v>0.62710566615620211</c:v>
                </c:pt>
                <c:pt idx="7">
                  <c:v>0</c:v>
                </c:pt>
                <c:pt idx="8">
                  <c:v>0.3316088980858769</c:v>
                </c:pt>
                <c:pt idx="9">
                  <c:v>0</c:v>
                </c:pt>
                <c:pt idx="10">
                  <c:v>0</c:v>
                </c:pt>
                <c:pt idx="11">
                  <c:v>0</c:v>
                </c:pt>
                <c:pt idx="12">
                  <c:v>0</c:v>
                </c:pt>
                <c:pt idx="13">
                  <c:v>0.56069110736493699</c:v>
                </c:pt>
                <c:pt idx="14">
                  <c:v>0.53857700390273189</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3.3691497607783389E-3</c:v>
                </c:pt>
                <c:pt idx="32">
                  <c:v>0.29390927138066025</c:v>
                </c:pt>
                <c:pt idx="33">
                  <c:v>0</c:v>
                </c:pt>
                <c:pt idx="34">
                  <c:v>0</c:v>
                </c:pt>
                <c:pt idx="35">
                  <c:v>0</c:v>
                </c:pt>
                <c:pt idx="36">
                  <c:v>0.10178776333482743</c:v>
                </c:pt>
                <c:pt idx="37">
                  <c:v>0</c:v>
                </c:pt>
                <c:pt idx="38">
                  <c:v>0</c:v>
                </c:pt>
                <c:pt idx="39">
                  <c:v>0</c:v>
                </c:pt>
                <c:pt idx="40">
                  <c:v>0</c:v>
                </c:pt>
                <c:pt idx="41">
                  <c:v>0.2390118461021834</c:v>
                </c:pt>
                <c:pt idx="42">
                  <c:v>0</c:v>
                </c:pt>
                <c:pt idx="43">
                  <c:v>1.4523119333114801E-2</c:v>
                </c:pt>
                <c:pt idx="44">
                  <c:v>0</c:v>
                </c:pt>
                <c:pt idx="45">
                  <c:v>0</c:v>
                </c:pt>
                <c:pt idx="46">
                  <c:v>0</c:v>
                </c:pt>
                <c:pt idx="47">
                  <c:v>0</c:v>
                </c:pt>
                <c:pt idx="48">
                  <c:v>0</c:v>
                </c:pt>
              </c:numCache>
            </c:numRef>
          </c:val>
          <c:extLst>
            <c:ext xmlns:c16="http://schemas.microsoft.com/office/drawing/2014/chart" uri="{C3380CC4-5D6E-409C-BE32-E72D297353CC}">
              <c16:uniqueId val="{00000009-CB01-43B8-A4A9-12EE3D6274BA}"/>
            </c:ext>
          </c:extLst>
        </c:ser>
        <c:dLbls>
          <c:showLegendKey val="0"/>
          <c:showVal val="0"/>
          <c:showCatName val="0"/>
          <c:showSerName val="0"/>
          <c:showPercent val="0"/>
          <c:showBubbleSize val="0"/>
        </c:dLbls>
        <c:gapWidth val="219"/>
        <c:overlap val="-27"/>
        <c:axId val="55998191"/>
        <c:axId val="55996943"/>
        <c:extLst/>
      </c:barChart>
      <c:catAx>
        <c:axId val="5599819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 generali delle emissioni specifiche (NOx</a:t>
            </a:r>
            <a:r>
              <a:rPr lang="it-IT"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pieChart>
        <c:varyColors val="1"/>
        <c:ser>
          <c:idx val="0"/>
          <c:order val="0"/>
          <c:dPt>
            <c:idx val="0"/>
            <c:bubble3D val="0"/>
            <c:spPr>
              <a:solidFill>
                <a:srgbClr val="FF0000"/>
              </a:solidFill>
              <a:ln>
                <a:noFill/>
              </a:ln>
              <a:effectLst/>
            </c:spPr>
            <c:extLst>
              <c:ext xmlns:c16="http://schemas.microsoft.com/office/drawing/2014/chart" uri="{C3380CC4-5D6E-409C-BE32-E72D297353CC}">
                <c16:uniqueId val="{00000001-78D7-4A41-9B46-D05F1BD1AB7D}"/>
              </c:ext>
            </c:extLst>
          </c:dPt>
          <c:dPt>
            <c:idx val="1"/>
            <c:bubble3D val="0"/>
            <c:spPr>
              <a:solidFill>
                <a:srgbClr val="92D050"/>
              </a:solidFill>
              <a:ln>
                <a:noFill/>
              </a:ln>
              <a:effectLst/>
            </c:spPr>
            <c:extLst>
              <c:ext xmlns:c16="http://schemas.microsoft.com/office/drawing/2014/chart" uri="{C3380CC4-5D6E-409C-BE32-E72D297353CC}">
                <c16:uniqueId val="{00000003-78D7-4A41-9B46-D05F1BD1AB7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'Analisi dati, formula corretta'!$BH$54:$BH$55</c:f>
              <c:strCache>
                <c:ptCount val="2"/>
                <c:pt idx="0">
                  <c:v>Incremento emissioni specifiche</c:v>
                </c:pt>
                <c:pt idx="1">
                  <c:v>Diminuzione emissioni specifiche</c:v>
                </c:pt>
              </c:strCache>
            </c:strRef>
          </c:cat>
          <c:val>
            <c:numRef>
              <c:f>'Analisi dati, formula corretta'!$CE$54:$CE$55</c:f>
              <c:numCache>
                <c:formatCode>General</c:formatCode>
                <c:ptCount val="2"/>
                <c:pt idx="0">
                  <c:v>18</c:v>
                </c:pt>
                <c:pt idx="1">
                  <c:v>31</c:v>
                </c:pt>
              </c:numCache>
            </c:numRef>
          </c:val>
          <c:extLst>
            <c:ext xmlns:c16="http://schemas.microsoft.com/office/drawing/2014/chart" uri="{C3380CC4-5D6E-409C-BE32-E72D297353CC}">
              <c16:uniqueId val="{00000006-78D7-4A41-9B46-D05F1BD1AB7D}"/>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 generali delle emissioni specifiche (CO</a:t>
            </a:r>
            <a:r>
              <a:rPr lang="it-IT"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pieChart>
        <c:varyColors val="1"/>
        <c:ser>
          <c:idx val="0"/>
          <c:order val="0"/>
          <c:dPt>
            <c:idx val="0"/>
            <c:bubble3D val="0"/>
            <c:spPr>
              <a:solidFill>
                <a:srgbClr val="FF0000"/>
              </a:solidFill>
              <a:ln>
                <a:noFill/>
              </a:ln>
              <a:effectLst/>
            </c:spPr>
            <c:extLst>
              <c:ext xmlns:c16="http://schemas.microsoft.com/office/drawing/2014/chart" uri="{C3380CC4-5D6E-409C-BE32-E72D297353CC}">
                <c16:uniqueId val="{00000001-C000-4D02-86F7-FECA0CF177F9}"/>
              </c:ext>
            </c:extLst>
          </c:dPt>
          <c:dPt>
            <c:idx val="1"/>
            <c:bubble3D val="0"/>
            <c:spPr>
              <a:solidFill>
                <a:srgbClr val="92D050"/>
              </a:solidFill>
              <a:ln>
                <a:noFill/>
              </a:ln>
              <a:effectLst/>
            </c:spPr>
            <c:extLst>
              <c:ext xmlns:c16="http://schemas.microsoft.com/office/drawing/2014/chart" uri="{C3380CC4-5D6E-409C-BE32-E72D297353CC}">
                <c16:uniqueId val="{00000003-C000-4D02-86F7-FECA0CF177F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'Analisi dati, formula corretta'!$BH$54:$BH$55</c:f>
              <c:strCache>
                <c:ptCount val="2"/>
                <c:pt idx="0">
                  <c:v>Incremento emissioni specifiche</c:v>
                </c:pt>
                <c:pt idx="1">
                  <c:v>Diminuzione emissioni specifiche</c:v>
                </c:pt>
              </c:strCache>
            </c:strRef>
          </c:cat>
          <c:val>
            <c:numRef>
              <c:f>'Analisi dati, formula corretta'!$DB$54:$DB$55</c:f>
              <c:numCache>
                <c:formatCode>General</c:formatCode>
                <c:ptCount val="2"/>
                <c:pt idx="0">
                  <c:v>20</c:v>
                </c:pt>
                <c:pt idx="1">
                  <c:v>28</c:v>
                </c:pt>
              </c:numCache>
            </c:numRef>
          </c:val>
          <c:extLst>
            <c:ext xmlns:c16="http://schemas.microsoft.com/office/drawing/2014/chart" uri="{C3380CC4-5D6E-409C-BE32-E72D297353CC}">
              <c16:uniqueId val="{00000006-C000-4D02-86F7-FECA0CF177F9}"/>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delle centrali a carbone (NOx)</a:t>
            </a:r>
            <a:endParaRPr lang="it-IT"/>
          </a:p>
        </c:rich>
      </c:tx>
      <c:layout>
        <c:manualLayout>
          <c:xMode val="edge"/>
          <c:yMode val="edge"/>
          <c:x val="0.46956613237907513"/>
          <c:y val="1.085776884410382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1"/>
          <c:order val="0"/>
          <c:tx>
            <c:v>2011</c:v>
          </c:tx>
          <c:spPr>
            <a:solidFill>
              <a:schemeClr val="accent2"/>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corretta'!$BT$4:$BT$52</c15:sqref>
                  </c15:fullRef>
                </c:ext>
              </c:extLst>
              <c:f>('Analisi dati, formula corretta'!$BT$6,'Analisi dati, formula corretta'!$BT$10,'Analisi dati, formula corretta'!$BT$12,'Analisi dati, formula corretta'!$BT$17:$BT$18,'Analisi dati, formula corretta'!$BT$36,'Analisi dati, formula corretta'!$BT$45)</c:f>
              <c:numCache>
                <c:formatCode>#,##0.000</c:formatCode>
                <c:ptCount val="7"/>
                <c:pt idx="0">
                  <c:v>0.26332825755090772</c:v>
                </c:pt>
                <c:pt idx="1">
                  <c:v>0.93725868725868722</c:v>
                </c:pt>
                <c:pt idx="2">
                  <c:v>0.45</c:v>
                </c:pt>
                <c:pt idx="3">
                  <c:v>0.73969780844229649</c:v>
                </c:pt>
                <c:pt idx="4">
                  <c:v>0.71744860305745917</c:v>
                </c:pt>
                <c:pt idx="5">
                  <c:v>0.44465831535265421</c:v>
                </c:pt>
                <c:pt idx="6">
                  <c:v>0.54393700292022085</c:v>
                </c:pt>
              </c:numCache>
            </c:numRef>
          </c:val>
          <c:extLst>
            <c:ext xmlns:c16="http://schemas.microsoft.com/office/drawing/2014/chart" uri="{C3380CC4-5D6E-409C-BE32-E72D297353CC}">
              <c16:uniqueId val="{00000001-DF46-4D4C-BFD0-19050DFCF545}"/>
            </c:ext>
          </c:extLst>
        </c:ser>
        <c:ser>
          <c:idx val="0"/>
          <c:order val="1"/>
          <c:tx>
            <c:v>2012</c:v>
          </c:tx>
          <c:spPr>
            <a:solidFill>
              <a:schemeClr val="accent1"/>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corretta'!$BT$4:$BT$52</c15:sqref>
                  </c15:fullRef>
                </c:ext>
              </c:extLst>
              <c:f>('Analisi dati, formula corretta'!$BT$6,'Analisi dati, formula corretta'!$BT$10,'Analisi dati, formula corretta'!$BT$12,'Analisi dati, formula corretta'!$BT$17:$BT$18,'Analisi dati, formula corretta'!$BT$36,'Analisi dati, formula corretta'!$BT$45)</c:f>
              <c:numCache>
                <c:formatCode>#,##0.000</c:formatCode>
                <c:ptCount val="7"/>
                <c:pt idx="0">
                  <c:v>0.26332825755090772</c:v>
                </c:pt>
                <c:pt idx="1">
                  <c:v>0.93725868725868722</c:v>
                </c:pt>
                <c:pt idx="2">
                  <c:v>0.45</c:v>
                </c:pt>
                <c:pt idx="3">
                  <c:v>0.73969780844229649</c:v>
                </c:pt>
                <c:pt idx="4">
                  <c:v>0.71744860305745917</c:v>
                </c:pt>
                <c:pt idx="5">
                  <c:v>0.44465831535265421</c:v>
                </c:pt>
                <c:pt idx="6">
                  <c:v>0.54393700292022085</c:v>
                </c:pt>
              </c:numCache>
            </c:numRef>
          </c:val>
          <c:extLst>
            <c:ext xmlns:c16="http://schemas.microsoft.com/office/drawing/2014/chart" uri="{C3380CC4-5D6E-409C-BE32-E72D297353CC}">
              <c16:uniqueId val="{00000002-DF46-4D4C-BFD0-19050DFCF545}"/>
            </c:ext>
          </c:extLst>
        </c:ser>
        <c:ser>
          <c:idx val="2"/>
          <c:order val="2"/>
          <c:tx>
            <c:v>2013</c:v>
          </c:tx>
          <c:spPr>
            <a:solidFill>
              <a:schemeClr val="accent3"/>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corretta'!$BU$4:$BU$52</c15:sqref>
                  </c15:fullRef>
                </c:ext>
              </c:extLst>
              <c:f>('Analisi dati, formula corretta'!$BU$6,'Analisi dati, formula corretta'!$BU$10,'Analisi dati, formula corretta'!$BU$12,'Analisi dati, formula corretta'!$BU$17:$BU$18,'Analisi dati, formula corretta'!$BU$36,'Analisi dati, formula corretta'!$BU$45)</c:f>
              <c:numCache>
                <c:formatCode>#,##0.000</c:formatCode>
                <c:ptCount val="7"/>
                <c:pt idx="0">
                  <c:v>0.25544686099629266</c:v>
                </c:pt>
                <c:pt idx="1">
                  <c:v>0.81496062992125984</c:v>
                </c:pt>
                <c:pt idx="2">
                  <c:v>0.48</c:v>
                </c:pt>
                <c:pt idx="3">
                  <c:v>0.7531785791377148</c:v>
                </c:pt>
                <c:pt idx="4">
                  <c:v>0.43889049407685637</c:v>
                </c:pt>
                <c:pt idx="5">
                  <c:v>0.43906053966178366</c:v>
                </c:pt>
                <c:pt idx="6">
                  <c:v>0.52174694865817961</c:v>
                </c:pt>
              </c:numCache>
            </c:numRef>
          </c:val>
          <c:extLst>
            <c:ext xmlns:c16="http://schemas.microsoft.com/office/drawing/2014/chart" uri="{C3380CC4-5D6E-409C-BE32-E72D297353CC}">
              <c16:uniqueId val="{00000003-DF46-4D4C-BFD0-19050DFCF545}"/>
            </c:ext>
          </c:extLst>
        </c:ser>
        <c:ser>
          <c:idx val="3"/>
          <c:order val="3"/>
          <c:tx>
            <c:v>2014</c:v>
          </c:tx>
          <c:spPr>
            <a:solidFill>
              <a:schemeClr val="accent4"/>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corretta'!$BV$4:$BV$52</c15:sqref>
                  </c15:fullRef>
                </c:ext>
              </c:extLst>
              <c:f>('Analisi dati, formula corretta'!$BV$6,'Analisi dati, formula corretta'!$BV$10,'Analisi dati, formula corretta'!$BV$12,'Analisi dati, formula corretta'!$BV$17:$BV$18,'Analisi dati, formula corretta'!$BV$36,'Analisi dati, formula corretta'!$BV$45)</c:f>
              <c:numCache>
                <c:formatCode>#,##0.000</c:formatCode>
                <c:ptCount val="7"/>
                <c:pt idx="0">
                  <c:v>0.26325674558233075</c:v>
                </c:pt>
                <c:pt idx="1">
                  <c:v>0.68321078431372551</c:v>
                </c:pt>
                <c:pt idx="2">
                  <c:v>0.48</c:v>
                </c:pt>
                <c:pt idx="3">
                  <c:v>0.69607395839024555</c:v>
                </c:pt>
                <c:pt idx="4">
                  <c:v>0.76365348399246702</c:v>
                </c:pt>
                <c:pt idx="5">
                  <c:v>0.61694644311563263</c:v>
                </c:pt>
                <c:pt idx="6">
                  <c:v>0.48656319040916685</c:v>
                </c:pt>
              </c:numCache>
            </c:numRef>
          </c:val>
          <c:extLst>
            <c:ext xmlns:c16="http://schemas.microsoft.com/office/drawing/2014/chart" uri="{C3380CC4-5D6E-409C-BE32-E72D297353CC}">
              <c16:uniqueId val="{00000004-DF46-4D4C-BFD0-19050DFCF545}"/>
            </c:ext>
          </c:extLst>
        </c:ser>
        <c:ser>
          <c:idx val="4"/>
          <c:order val="4"/>
          <c:tx>
            <c:v>2015</c:v>
          </c:tx>
          <c:spPr>
            <a:solidFill>
              <a:schemeClr val="accent5"/>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corretta'!$BW$4:$BW$52</c15:sqref>
                  </c15:fullRef>
                </c:ext>
              </c:extLst>
              <c:f>('Analisi dati, formula corretta'!$BW$6,'Analisi dati, formula corretta'!$BW$10,'Analisi dati, formula corretta'!$BW$12,'Analisi dati, formula corretta'!$BW$17:$BW$18,'Analisi dati, formula corretta'!$BW$36,'Analisi dati, formula corretta'!$BW$45)</c:f>
              <c:numCache>
                <c:formatCode>#,##0.000</c:formatCode>
                <c:ptCount val="7"/>
                <c:pt idx="0">
                  <c:v>0.2494432932246736</c:v>
                </c:pt>
                <c:pt idx="1">
                  <c:v>0.64369616288175413</c:v>
                </c:pt>
                <c:pt idx="2">
                  <c:v>0.53</c:v>
                </c:pt>
                <c:pt idx="3">
                  <c:v>0.63259514741365908</c:v>
                </c:pt>
                <c:pt idx="4">
                  <c:v>0.69443245576176094</c:v>
                </c:pt>
                <c:pt idx="5">
                  <c:v>0.5511648652396659</c:v>
                </c:pt>
                <c:pt idx="6">
                  <c:v>0.47668893364959875</c:v>
                </c:pt>
              </c:numCache>
            </c:numRef>
          </c:val>
          <c:extLst>
            <c:ext xmlns:c16="http://schemas.microsoft.com/office/drawing/2014/chart" uri="{C3380CC4-5D6E-409C-BE32-E72D297353CC}">
              <c16:uniqueId val="{00000005-DF46-4D4C-BFD0-19050DFCF545}"/>
            </c:ext>
          </c:extLst>
        </c:ser>
        <c:ser>
          <c:idx val="5"/>
          <c:order val="5"/>
          <c:tx>
            <c:v>2016</c:v>
          </c:tx>
          <c:spPr>
            <a:solidFill>
              <a:schemeClr val="accent6"/>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corretta'!$BX$4:$BX$52</c15:sqref>
                  </c15:fullRef>
                </c:ext>
              </c:extLst>
              <c:f>('Analisi dati, formula corretta'!$BX$6,'Analisi dati, formula corretta'!$BX$10,'Analisi dati, formula corretta'!$BX$12,'Analisi dati, formula corretta'!$BX$17:$BX$18,'Analisi dati, formula corretta'!$BX$36,'Analisi dati, formula corretta'!$BX$45)</c:f>
              <c:numCache>
                <c:formatCode>#,##0.000</c:formatCode>
                <c:ptCount val="7"/>
                <c:pt idx="0">
                  <c:v>0.23720076882753802</c:v>
                </c:pt>
                <c:pt idx="1">
                  <c:v>0.70064724919093846</c:v>
                </c:pt>
                <c:pt idx="2">
                  <c:v>0.55000000000000004</c:v>
                </c:pt>
                <c:pt idx="3">
                  <c:v>0.54272885779079438</c:v>
                </c:pt>
                <c:pt idx="4">
                  <c:v>0.65892420537897312</c:v>
                </c:pt>
                <c:pt idx="5">
                  <c:v>0.46702858373157219</c:v>
                </c:pt>
                <c:pt idx="6">
                  <c:v>0.49381530495034143</c:v>
                </c:pt>
              </c:numCache>
            </c:numRef>
          </c:val>
          <c:extLst>
            <c:ext xmlns:c16="http://schemas.microsoft.com/office/drawing/2014/chart" uri="{C3380CC4-5D6E-409C-BE32-E72D297353CC}">
              <c16:uniqueId val="{00000006-DF46-4D4C-BFD0-19050DFCF545}"/>
            </c:ext>
          </c:extLst>
        </c:ser>
        <c:ser>
          <c:idx val="6"/>
          <c:order val="6"/>
          <c:tx>
            <c:v>2017</c:v>
          </c:tx>
          <c:spPr>
            <a:solidFill>
              <a:schemeClr val="accent1">
                <a:lumMod val="60000"/>
              </a:schemeClr>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corretta'!$BY$4:$BY$52</c15:sqref>
                  </c15:fullRef>
                </c:ext>
              </c:extLst>
              <c:f>('Analisi dati, formula corretta'!$BY$6,'Analisi dati, formula corretta'!$BY$10,'Analisi dati, formula corretta'!$BY$12,'Analisi dati, formula corretta'!$BY$17:$BY$18,'Analisi dati, formula corretta'!$BY$36,'Analisi dati, formula corretta'!$BY$45)</c:f>
              <c:numCache>
                <c:formatCode>#,##0.000</c:formatCode>
                <c:ptCount val="7"/>
                <c:pt idx="0">
                  <c:v>0.22786069651741295</c:v>
                </c:pt>
                <c:pt idx="1">
                  <c:v>0.54001684919966297</c:v>
                </c:pt>
                <c:pt idx="2">
                  <c:v>0.44111405835543765</c:v>
                </c:pt>
                <c:pt idx="3">
                  <c:v>0.46144035669992317</c:v>
                </c:pt>
                <c:pt idx="4">
                  <c:v>0.63702664796633945</c:v>
                </c:pt>
                <c:pt idx="5">
                  <c:v>0.53305862573861729</c:v>
                </c:pt>
                <c:pt idx="6">
                  <c:v>0.49587455115442858</c:v>
                </c:pt>
              </c:numCache>
            </c:numRef>
          </c:val>
          <c:extLst>
            <c:ext xmlns:c16="http://schemas.microsoft.com/office/drawing/2014/chart" uri="{C3380CC4-5D6E-409C-BE32-E72D297353CC}">
              <c16:uniqueId val="{00000007-DF46-4D4C-BFD0-19050DFCF545}"/>
            </c:ext>
          </c:extLst>
        </c:ser>
        <c:ser>
          <c:idx val="7"/>
          <c:order val="7"/>
          <c:tx>
            <c:v>2018</c:v>
          </c:tx>
          <c:spPr>
            <a:solidFill>
              <a:schemeClr val="accent2">
                <a:lumMod val="60000"/>
              </a:schemeClr>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corretta'!$BZ$4:$BZ$52</c15:sqref>
                  </c15:fullRef>
                </c:ext>
              </c:extLst>
              <c:f>('Analisi dati, formula corretta'!$BZ$6,'Analisi dati, formula corretta'!$BZ$10,'Analisi dati, formula corretta'!$BZ$12,'Analisi dati, formula corretta'!$BZ$17:$BZ$18,'Analisi dati, formula corretta'!$BZ$36,'Analisi dati, formula corretta'!$BZ$45)</c:f>
              <c:numCache>
                <c:formatCode>#,##0.000</c:formatCode>
                <c:ptCount val="7"/>
                <c:pt idx="0">
                  <c:v>0.23944954128440368</c:v>
                </c:pt>
                <c:pt idx="1">
                  <c:v>0.62329390354868064</c:v>
                </c:pt>
                <c:pt idx="2">
                  <c:v>0.33259361997226072</c:v>
                </c:pt>
                <c:pt idx="3">
                  <c:v>0.50170601190771991</c:v>
                </c:pt>
                <c:pt idx="4">
                  <c:v>0.63715983734751325</c:v>
                </c:pt>
                <c:pt idx="5">
                  <c:v>0.58890947753009992</c:v>
                </c:pt>
                <c:pt idx="6">
                  <c:v>0.48225231760101395</c:v>
                </c:pt>
              </c:numCache>
            </c:numRef>
          </c:val>
          <c:extLst>
            <c:ext xmlns:c16="http://schemas.microsoft.com/office/drawing/2014/chart" uri="{C3380CC4-5D6E-409C-BE32-E72D297353CC}">
              <c16:uniqueId val="{00000008-DF46-4D4C-BFD0-19050DFCF545}"/>
            </c:ext>
          </c:extLst>
        </c:ser>
        <c:ser>
          <c:idx val="8"/>
          <c:order val="8"/>
          <c:tx>
            <c:v>2019</c:v>
          </c:tx>
          <c:spPr>
            <a:solidFill>
              <a:schemeClr val="accent3">
                <a:lumMod val="60000"/>
              </a:schemeClr>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corretta'!$CA$4:$CA$52</c15:sqref>
                  </c15:fullRef>
                </c:ext>
              </c:extLst>
              <c:f>('Analisi dati, formula corretta'!$CA$6,'Analisi dati, formula corretta'!$CA$10,'Analisi dati, formula corretta'!$CA$12,'Analisi dati, formula corretta'!$CA$17:$CA$18,'Analisi dati, formula corretta'!$CA$36,'Analisi dati, formula corretta'!$CA$45)</c:f>
              <c:numCache>
                <c:formatCode>#,##0.000</c:formatCode>
                <c:ptCount val="7"/>
                <c:pt idx="0">
                  <c:v>0.26056177209408543</c:v>
                </c:pt>
                <c:pt idx="1">
                  <c:v>0.61102603369065855</c:v>
                </c:pt>
                <c:pt idx="2">
                  <c:v>0.25245732022762546</c:v>
                </c:pt>
                <c:pt idx="3">
                  <c:v>0.58045114639101414</c:v>
                </c:pt>
                <c:pt idx="4">
                  <c:v>0.64455118583008109</c:v>
                </c:pt>
                <c:pt idx="5">
                  <c:v>0.44905492029025801</c:v>
                </c:pt>
                <c:pt idx="6">
                  <c:v>0.450474040161436</c:v>
                </c:pt>
              </c:numCache>
            </c:numRef>
          </c:val>
          <c:extLst>
            <c:ext xmlns:c16="http://schemas.microsoft.com/office/drawing/2014/chart" uri="{C3380CC4-5D6E-409C-BE32-E72D297353CC}">
              <c16:uniqueId val="{00000009-DF46-4D4C-BFD0-19050DFCF545}"/>
            </c:ext>
          </c:extLst>
        </c:ser>
        <c:dLbls>
          <c:showLegendKey val="0"/>
          <c:showVal val="0"/>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specifiche delle centrali a carbone in % di variazione (NOx)</a:t>
            </a:r>
            <a:endParaRPr lang="it-IT"/>
          </a:p>
        </c:rich>
      </c:tx>
      <c:layout>
        <c:manualLayout>
          <c:xMode val="edge"/>
          <c:yMode val="edge"/>
          <c:x val="0.23762250662977055"/>
          <c:y val="1.058201205155078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3"/>
          <c:order val="3"/>
          <c:tx>
            <c:v>Variazioni</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7"/>
              <c:pt idx="0">
                <c:v>3</c:v>
              </c:pt>
              <c:pt idx="1">
                <c:v>7</c:v>
              </c:pt>
              <c:pt idx="2">
                <c:v>9</c:v>
              </c:pt>
              <c:pt idx="3">
                <c:v>14</c:v>
              </c:pt>
              <c:pt idx="4">
                <c:v>15</c:v>
              </c:pt>
              <c:pt idx="5">
                <c:v>33</c:v>
              </c:pt>
              <c:pt idx="6">
                <c:v>42</c:v>
              </c:pt>
            </c:numLit>
          </c:cat>
          <c:val>
            <c:numRef>
              <c:f>('Analisi dati, formula corretta'!$CE$6,'Analisi dati, formula corretta'!$CE$10,'Analisi dati, formula corretta'!$CE$12,'Analisi dati, formula corretta'!$CE$17,'Analisi dati, formula corretta'!$CE$18,'Analisi dati, formula corretta'!$CE$36,'Analisi dati, formula corretta'!$CE$45)</c:f>
              <c:numCache>
                <c:formatCode>0.00%</c:formatCode>
                <c:ptCount val="7"/>
                <c:pt idx="0">
                  <c:v>1.7604662687012995E-2</c:v>
                </c:pt>
                <c:pt idx="1">
                  <c:v>-0.13430735482802858</c:v>
                </c:pt>
                <c:pt idx="2">
                  <c:v>-0.45117973863559691</c:v>
                </c:pt>
                <c:pt idx="3">
                  <c:v>-0.17945156137204477</c:v>
                </c:pt>
                <c:pt idx="4">
                  <c:v>-7.4256512136399166E-2</c:v>
                </c:pt>
                <c:pt idx="5">
                  <c:v>6.6168334783612837E-2</c:v>
                </c:pt>
                <c:pt idx="6">
                  <c:v>-0.28272405118394206</c:v>
                </c:pt>
              </c:numCache>
            </c:numRef>
          </c:val>
          <c:extLst xmlns:c15="http://schemas.microsoft.com/office/drawing/2012/chart">
            <c:ext xmlns:c16="http://schemas.microsoft.com/office/drawing/2014/chart" uri="{C3380CC4-5D6E-409C-BE32-E72D297353CC}">
              <c16:uniqueId val="{00000000-D45B-4813-AA4B-D21C71D69B3A}"/>
            </c:ext>
          </c:extLst>
        </c:ser>
        <c:dLbls>
          <c:showLegendKey val="0"/>
          <c:showVal val="0"/>
          <c:showCatName val="0"/>
          <c:showSerName val="0"/>
          <c:showPercent val="0"/>
          <c:showBubbleSize val="0"/>
        </c:dLbls>
        <c:gapWidth val="219"/>
        <c:overlap val="-27"/>
        <c:axId val="55998191"/>
        <c:axId val="55996943"/>
        <c:extLst>
          <c:ext xmlns:c15="http://schemas.microsoft.com/office/drawing/2012/chart" uri="{02D57815-91ED-43cb-92C2-25804820EDAC}">
            <c15:filteredBarSeries>
              <c15:ser>
                <c:idx val="0"/>
                <c:order val="0"/>
                <c:tx>
                  <c:v>2017</c:v>
                </c:tx>
                <c:spPr>
                  <a:solidFill>
                    <a:schemeClr val="accent1"/>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c:ext uri="{02D57815-91ED-43cb-92C2-25804820EDAC}">
                        <c15:formulaRef>
                          <c15:sqref>'Analisi dati, formula corretta'!$AZ$4:$AZ$52</c15:sqref>
                        </c15:formulaRef>
                      </c:ext>
                    </c:extLst>
                    <c:numCache>
                      <c:formatCode>#,##0.00</c:formatCode>
                      <c:ptCount val="49"/>
                      <c:pt idx="0">
                        <c:v>368.88</c:v>
                      </c:pt>
                      <c:pt idx="1">
                        <c:v>405.35909752359856</c:v>
                      </c:pt>
                      <c:pt idx="2">
                        <c:v>881.75829941203074</c:v>
                      </c:pt>
                      <c:pt idx="3">
                        <c:v>388.47824696097251</c:v>
                      </c:pt>
                      <c:pt idx="4">
                        <c:v>371</c:v>
                      </c:pt>
                      <c:pt idx="5">
                        <c:v>388.38532110091745</c:v>
                      </c:pt>
                      <c:pt idx="6">
                        <c:v>904.86689132266213</c:v>
                      </c:pt>
                      <c:pt idx="7">
                        <c:v>395.22230272631839</c:v>
                      </c:pt>
                      <c:pt idx="8">
                        <c:v>976.88275862068963</c:v>
                      </c:pt>
                      <c:pt idx="9">
                        <c:v>386.18599926009006</c:v>
                      </c:pt>
                      <c:pt idx="10">
                        <c:v>391.62999138401415</c:v>
                      </c:pt>
                      <c:pt idx="11">
                        <c:v>704.4110766089583</c:v>
                      </c:pt>
                      <c:pt idx="12">
                        <c:v>382.60635433494883</c:v>
                      </c:pt>
                      <c:pt idx="13">
                        <c:v>1014.2599631450249</c:v>
                      </c:pt>
                      <c:pt idx="14">
                        <c:v>985.69424964936889</c:v>
                      </c:pt>
                      <c:pt idx="15">
                        <c:v>395.39834153132517</c:v>
                      </c:pt>
                      <c:pt idx="16">
                        <c:v>387.4130624931002</c:v>
                      </c:pt>
                      <c:pt idx="17">
                        <c:v>364.17587834891265</c:v>
                      </c:pt>
                      <c:pt idx="18">
                        <c:v>281.57096027767068</c:v>
                      </c:pt>
                      <c:pt idx="19">
                        <c:v>407.69128245998718</c:v>
                      </c:pt>
                      <c:pt idx="20">
                        <c:v>388.47391789206461</c:v>
                      </c:pt>
                      <c:pt idx="21">
                        <c:v>248.44577280114868</c:v>
                      </c:pt>
                      <c:pt idx="22">
                        <c:v>245.27063673896387</c:v>
                      </c:pt>
                      <c:pt idx="23">
                        <c:v>267.09954756699329</c:v>
                      </c:pt>
                      <c:pt idx="24">
                        <c:v>324.73430023149348</c:v>
                      </c:pt>
                      <c:pt idx="25">
                        <c:v>398.48632709749376</c:v>
                      </c:pt>
                      <c:pt idx="26">
                        <c:v>482.20290754824356</c:v>
                      </c:pt>
                      <c:pt idx="27">
                        <c:v>231.55753233807644</c:v>
                      </c:pt>
                      <c:pt idx="28">
                        <c:v>408.46366145354187</c:v>
                      </c:pt>
                      <c:pt idx="29">
                        <c:v>259.06890130353821</c:v>
                      </c:pt>
                      <c:pt idx="30">
                        <c:v>384.98705261351364</c:v>
                      </c:pt>
                      <c:pt idx="31">
                        <c:v>287.65724699772517</c:v>
                      </c:pt>
                      <c:pt idx="32">
                        <c:v>1400.4351729065409</c:v>
                      </c:pt>
                      <c:pt idx="33">
                        <c:v>283.14788261666286</c:v>
                      </c:pt>
                      <c:pt idx="34">
                        <c:v>371.53078595186338</c:v>
                      </c:pt>
                      <c:pt idx="35">
                        <c:v>402.85219937028756</c:v>
                      </c:pt>
                      <c:pt idx="36">
                        <c:v>208.95619422805078</c:v>
                      </c:pt>
                      <c:pt idx="37">
                        <c:v>373.0368682992052</c:v>
                      </c:pt>
                      <c:pt idx="38">
                        <c:v>389.85446136501832</c:v>
                      </c:pt>
                      <c:pt idx="39">
                        <c:v>276.88581081081082</c:v>
                      </c:pt>
                      <c:pt idx="40">
                        <c:v>363.98177657120243</c:v>
                      </c:pt>
                      <c:pt idx="41">
                        <c:v>1068.7291356539076</c:v>
                      </c:pt>
                      <c:pt idx="42">
                        <c:v>371.8029686841416</c:v>
                      </c:pt>
                      <c:pt idx="43">
                        <c:v>415.55262710861052</c:v>
                      </c:pt>
                      <c:pt idx="44">
                        <c:v>395.01954948481028</c:v>
                      </c:pt>
                      <c:pt idx="45">
                        <c:v>289.6468877718379</c:v>
                      </c:pt>
                      <c:pt idx="46">
                        <c:v>453.52286643300533</c:v>
                      </c:pt>
                      <c:pt idx="47">
                        <c:v>384.21145770686195</c:v>
                      </c:pt>
                      <c:pt idx="48">
                        <c:v>378.75641083670774</c:v>
                      </c:pt>
                    </c:numCache>
                  </c:numRef>
                </c:val>
                <c:extLst>
                  <c:ext xmlns:c16="http://schemas.microsoft.com/office/drawing/2014/chart" uri="{C3380CC4-5D6E-409C-BE32-E72D297353CC}">
                    <c16:uniqueId val="{00000001-D45B-4813-AA4B-D21C71D69B3A}"/>
                  </c:ext>
                </c:extLst>
              </c15:ser>
            </c15:filteredBarSeries>
            <c15:filteredBarSeries>
              <c15:ser>
                <c:idx val="1"/>
                <c:order val="1"/>
                <c:tx>
                  <c:v>2018</c:v>
                </c:tx>
                <c:spPr>
                  <a:solidFill>
                    <a:schemeClr val="accent2"/>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xmlns:c15="http://schemas.microsoft.com/office/drawing/2012/chart">
                      <c:ext xmlns:c15="http://schemas.microsoft.com/office/drawing/2012/chart" uri="{02D57815-91ED-43cb-92C2-25804820EDAC}">
                        <c15:formulaRef>
                          <c15:sqref>'Analisi dati, formula corretta'!$BA$4:$BA$52</c15:sqref>
                        </c15:formulaRef>
                      </c:ext>
                    </c:extLst>
                    <c:numCache>
                      <c:formatCode>#,##0.00</c:formatCode>
                      <c:ptCount val="49"/>
                      <c:pt idx="0">
                        <c:v>419.89</c:v>
                      </c:pt>
                      <c:pt idx="1">
                        <c:v>409.58238022968067</c:v>
                      </c:pt>
                      <c:pt idx="2">
                        <c:v>926.72316513761473</c:v>
                      </c:pt>
                      <c:pt idx="3">
                        <c:v>381.0792815113038</c:v>
                      </c:pt>
                      <c:pt idx="4">
                        <c:v>371</c:v>
                      </c:pt>
                      <c:pt idx="5">
                        <c:v>406.27387996618768</c:v>
                      </c:pt>
                      <c:pt idx="6">
                        <c:v>911.67606915377621</c:v>
                      </c:pt>
                      <c:pt idx="7">
                        <c:v>388.20765449918542</c:v>
                      </c:pt>
                      <c:pt idx="8">
                        <c:v>986.56227461858532</c:v>
                      </c:pt>
                      <c:pt idx="9">
                        <c:v>386.67514957901295</c:v>
                      </c:pt>
                      <c:pt idx="10">
                        <c:v>387.01950587966007</c:v>
                      </c:pt>
                      <c:pt idx="11">
                        <c:v>723.44061520934213</c:v>
                      </c:pt>
                      <c:pt idx="12">
                        <c:v>387.13318284424378</c:v>
                      </c:pt>
                      <c:pt idx="13">
                        <c:v>1019.6104139153898</c:v>
                      </c:pt>
                      <c:pt idx="14">
                        <c:v>988.42664998436032</c:v>
                      </c:pt>
                      <c:pt idx="15">
                        <c:v>387.90872892767277</c:v>
                      </c:pt>
                      <c:pt idx="16">
                        <c:v>394.07139945256534</c:v>
                      </c:pt>
                      <c:pt idx="17">
                        <c:v>367.13450773789924</c:v>
                      </c:pt>
                      <c:pt idx="18">
                        <c:v>298.59904118544347</c:v>
                      </c:pt>
                      <c:pt idx="19">
                        <c:v>411.19435185307179</c:v>
                      </c:pt>
                      <c:pt idx="20">
                        <c:v>386.13351422450734</c:v>
                      </c:pt>
                      <c:pt idx="21">
                        <c:v>247.8819510806058</c:v>
                      </c:pt>
                      <c:pt idx="22">
                        <c:v>231.51000417853015</c:v>
                      </c:pt>
                      <c:pt idx="23">
                        <c:v>268.02066743883017</c:v>
                      </c:pt>
                      <c:pt idx="24">
                        <c:v>319.05597837364905</c:v>
                      </c:pt>
                      <c:pt idx="25">
                        <c:v>406.70106208846397</c:v>
                      </c:pt>
                      <c:pt idx="26">
                        <c:v>409.7043808619257</c:v>
                      </c:pt>
                      <c:pt idx="27">
                        <c:v>226.53597176454846</c:v>
                      </c:pt>
                      <c:pt idx="28">
                        <c:v>402.79823269513992</c:v>
                      </c:pt>
                      <c:pt idx="29">
                        <c:v>264.37665769244217</c:v>
                      </c:pt>
                      <c:pt idx="30">
                        <c:v>385.18648408683117</c:v>
                      </c:pt>
                      <c:pt idx="31">
                        <c:v>346.91898585325868</c:v>
                      </c:pt>
                      <c:pt idx="32">
                        <c:v>1365.3490259504147</c:v>
                      </c:pt>
                      <c:pt idx="33">
                        <c:v>284.14168604159806</c:v>
                      </c:pt>
                      <c:pt idx="34">
                        <c:v>384.19213288507154</c:v>
                      </c:pt>
                      <c:pt idx="35">
                        <c:v>401.87925261907333</c:v>
                      </c:pt>
                      <c:pt idx="36">
                        <c:v>236.84385824673595</c:v>
                      </c:pt>
                      <c:pt idx="37">
                        <c:v>381.55689254338745</c:v>
                      </c:pt>
                      <c:pt idx="38">
                        <c:v>389.48996516680569</c:v>
                      </c:pt>
                      <c:pt idx="39">
                        <c:v>275.68735855156808</c:v>
                      </c:pt>
                      <c:pt idx="40">
                        <c:v>366.7633781033324</c:v>
                      </c:pt>
                      <c:pt idx="41">
                        <c:v>1039.507111940613</c:v>
                      </c:pt>
                      <c:pt idx="42">
                        <c:v>374.89580731984796</c:v>
                      </c:pt>
                      <c:pt idx="43">
                        <c:v>399.3525124299793</c:v>
                      </c:pt>
                      <c:pt idx="44">
                        <c:v>391.54343972989676</c:v>
                      </c:pt>
                      <c:pt idx="45">
                        <c:v>279.38215946467051</c:v>
                      </c:pt>
                      <c:pt idx="46">
                        <c:v>430.55219855054116</c:v>
                      </c:pt>
                      <c:pt idx="47">
                        <c:v>377.37046885271144</c:v>
                      </c:pt>
                      <c:pt idx="48">
                        <c:v>379.23259748048815</c:v>
                      </c:pt>
                    </c:numCache>
                  </c:numRef>
                </c:val>
                <c:extLst xmlns:c15="http://schemas.microsoft.com/office/drawing/2012/chart">
                  <c:ext xmlns:c16="http://schemas.microsoft.com/office/drawing/2014/chart" uri="{C3380CC4-5D6E-409C-BE32-E72D297353CC}">
                    <c16:uniqueId val="{00000002-D45B-4813-AA4B-D21C71D69B3A}"/>
                  </c:ext>
                </c:extLst>
              </c15:ser>
            </c15:filteredBarSeries>
            <c15:filteredBarSeries>
              <c15:ser>
                <c:idx val="2"/>
                <c:order val="2"/>
                <c:tx>
                  <c:v>2019</c:v>
                </c:tx>
                <c:spPr>
                  <a:solidFill>
                    <a:schemeClr val="accent3"/>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xmlns:c15="http://schemas.microsoft.com/office/drawing/2012/chart">
                      <c:ext xmlns:c15="http://schemas.microsoft.com/office/drawing/2012/chart" uri="{02D57815-91ED-43cb-92C2-25804820EDAC}">
                        <c15:formulaRef>
                          <c15:sqref>'Analisi dati, formula corretta'!$BB$4:$BB$52</c15:sqref>
                        </c15:formulaRef>
                      </c:ext>
                    </c:extLst>
                    <c:numCache>
                      <c:formatCode>#,##0.00</c:formatCode>
                      <c:ptCount val="49"/>
                      <c:pt idx="0">
                        <c:v>412.3</c:v>
                      </c:pt>
                      <c:pt idx="1">
                        <c:v>401.07605938585249</c:v>
                      </c:pt>
                      <c:pt idx="2">
                        <c:v>1028.8193651518611</c:v>
                      </c:pt>
                      <c:pt idx="3">
                        <c:v>379.55289765721329</c:v>
                      </c:pt>
                      <c:pt idx="4">
                        <c:v>386</c:v>
                      </c:pt>
                      <c:pt idx="5">
                        <c:v>386.94617563739376</c:v>
                      </c:pt>
                      <c:pt idx="6">
                        <c:v>882.47396630934145</c:v>
                      </c:pt>
                      <c:pt idx="7">
                        <c:v>394.73783455947142</c:v>
                      </c:pt>
                      <c:pt idx="8">
                        <c:v>1020.5023279875841</c:v>
                      </c:pt>
                      <c:pt idx="9">
                        <c:v>380.74424039983046</c:v>
                      </c:pt>
                      <c:pt idx="10">
                        <c:v>383.23726878930313</c:v>
                      </c:pt>
                      <c:pt idx="11">
                        <c:v>709.09307591467052</c:v>
                      </c:pt>
                      <c:pt idx="12">
                        <c:v>381.04020656584288</c:v>
                      </c:pt>
                      <c:pt idx="13">
                        <c:v>987.08187448670208</c:v>
                      </c:pt>
                      <c:pt idx="14">
                        <c:v>996.0972680876614</c:v>
                      </c:pt>
                      <c:pt idx="15">
                        <c:v>393.62834457951203</c:v>
                      </c:pt>
                      <c:pt idx="16">
                        <c:v>389.24523644308124</c:v>
                      </c:pt>
                      <c:pt idx="17">
                        <c:v>368.22433797550036</c:v>
                      </c:pt>
                      <c:pt idx="18">
                        <c:v>297.54750469826683</c:v>
                      </c:pt>
                      <c:pt idx="19">
                        <c:v>398.19853122774254</c:v>
                      </c:pt>
                      <c:pt idx="20">
                        <c:v>380.47284319130461</c:v>
                      </c:pt>
                      <c:pt idx="21">
                        <c:v>249.63268453557146</c:v>
                      </c:pt>
                      <c:pt idx="22">
                        <c:v>226.05266724053357</c:v>
                      </c:pt>
                      <c:pt idx="23">
                        <c:v>264.68753154045896</c:v>
                      </c:pt>
                      <c:pt idx="24">
                        <c:v>322.58963699208357</c:v>
                      </c:pt>
                      <c:pt idx="25">
                        <c:v>404.49073150664435</c:v>
                      </c:pt>
                      <c:pt idx="26">
                        <c:v>400.18382994743166</c:v>
                      </c:pt>
                      <c:pt idx="27">
                        <c:v>232.04161869800376</c:v>
                      </c:pt>
                      <c:pt idx="28">
                        <c:v>406.81818181818181</c:v>
                      </c:pt>
                      <c:pt idx="29">
                        <c:v>258.33805613673258</c:v>
                      </c:pt>
                      <c:pt idx="30">
                        <c:v>387.74340771304918</c:v>
                      </c:pt>
                      <c:pt idx="31">
                        <c:v>321.13423141688719</c:v>
                      </c:pt>
                      <c:pt idx="32">
                        <c:v>1315.3005104421818</c:v>
                      </c:pt>
                      <c:pt idx="33">
                        <c:v>281.32675916457544</c:v>
                      </c:pt>
                      <c:pt idx="34">
                        <c:v>384.49821561750724</c:v>
                      </c:pt>
                      <c:pt idx="35">
                        <c:v>398.94266051179977</c:v>
                      </c:pt>
                      <c:pt idx="36">
                        <c:v>178.69415807560139</c:v>
                      </c:pt>
                      <c:pt idx="37">
                        <c:v>0</c:v>
                      </c:pt>
                      <c:pt idx="38">
                        <c:v>393.45100995441476</c:v>
                      </c:pt>
                      <c:pt idx="39">
                        <c:v>284.46931163106137</c:v>
                      </c:pt>
                      <c:pt idx="40">
                        <c:v>366.21602235710282</c:v>
                      </c:pt>
                      <c:pt idx="41">
                        <c:v>1132.3979192318661</c:v>
                      </c:pt>
                      <c:pt idx="42">
                        <c:v>375.04012195179683</c:v>
                      </c:pt>
                      <c:pt idx="43">
                        <c:v>395.57312030931502</c:v>
                      </c:pt>
                      <c:pt idx="44">
                        <c:v>394.14656750474091</c:v>
                      </c:pt>
                      <c:pt idx="45">
                        <c:v>275.96848677570051</c:v>
                      </c:pt>
                      <c:pt idx="46">
                        <c:v>418.63708571875645</c:v>
                      </c:pt>
                      <c:pt idx="47">
                        <c:v>373.10171461386358</c:v>
                      </c:pt>
                      <c:pt idx="48">
                        <c:v>370.52096486727464</c:v>
                      </c:pt>
                    </c:numCache>
                  </c:numRef>
                </c:val>
                <c:extLst xmlns:c15="http://schemas.microsoft.com/office/drawing/2012/chart">
                  <c:ext xmlns:c16="http://schemas.microsoft.com/office/drawing/2014/chart" uri="{C3380CC4-5D6E-409C-BE32-E72D297353CC}">
                    <c16:uniqueId val="{00000003-D45B-4813-AA4B-D21C71D69B3A}"/>
                  </c:ext>
                </c:extLst>
              </c15:ser>
            </c15:filteredBarSeries>
            <c15:filteredBarSeries>
              <c15:ser>
                <c:idx val="4"/>
                <c:order val="4"/>
                <c:spPr>
                  <a:solidFill>
                    <a:schemeClr val="accent5"/>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xmlns:c15="http://schemas.microsoft.com/office/drawing/2012/chart">
                      <c:ext xmlns:c15="http://schemas.microsoft.com/office/drawing/2012/chart" uri="{02D57815-91ED-43cb-92C2-25804820EDAC}">
                        <c15:formulaRef>
                          <c15:sqref>'Analisi dati, formula corretta'!$BA$3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4-D45B-4813-AA4B-D21C71D69B3A}"/>
                  </c:ext>
                </c:extLst>
              </c15:ser>
            </c15:filteredBarSeries>
            <c15:filteredBarSeries>
              <c15:ser>
                <c:idx val="5"/>
                <c:order val="5"/>
                <c:spPr>
                  <a:solidFill>
                    <a:schemeClr val="accent6"/>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xmlns:c15="http://schemas.microsoft.com/office/drawing/2012/chart">
                      <c:ext xmlns:c15="http://schemas.microsoft.com/office/drawing/2012/chart" uri="{02D57815-91ED-43cb-92C2-25804820EDAC}">
                        <c15:formulaRef>
                          <c15:sqref>'Analisi dati, formula corretta'!$BB$3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5-D45B-4813-AA4B-D21C71D69B3A}"/>
                  </c:ext>
                </c:extLst>
              </c15:ser>
            </c15:filteredBarSeries>
          </c:ext>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 generali delle emissioni specifiche delle centrali</a:t>
            </a:r>
            <a:r>
              <a:rPr lang="it-IT" baseline="0"/>
              <a:t> a carbone</a:t>
            </a:r>
            <a:r>
              <a:rPr lang="it-IT"/>
              <a:t> (NOx</a:t>
            </a:r>
            <a:r>
              <a:rPr lang="it-IT"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pieChart>
        <c:varyColors val="1"/>
        <c:ser>
          <c:idx val="0"/>
          <c:order val="0"/>
          <c:spPr>
            <a:solidFill>
              <a:srgbClr val="FFFF00"/>
            </a:solidFill>
          </c:spPr>
          <c:dPt>
            <c:idx val="0"/>
            <c:bubble3D val="0"/>
            <c:spPr>
              <a:solidFill>
                <a:srgbClr val="FF0000"/>
              </a:solidFill>
              <a:ln>
                <a:noFill/>
              </a:ln>
              <a:effectLst/>
            </c:spPr>
            <c:extLst>
              <c:ext xmlns:c16="http://schemas.microsoft.com/office/drawing/2014/chart" uri="{C3380CC4-5D6E-409C-BE32-E72D297353CC}">
                <c16:uniqueId val="{00000001-043E-4198-B49E-A8204E2A8293}"/>
              </c:ext>
            </c:extLst>
          </c:dPt>
          <c:dPt>
            <c:idx val="1"/>
            <c:bubble3D val="0"/>
            <c:spPr>
              <a:solidFill>
                <a:srgbClr val="92D050"/>
              </a:solidFill>
              <a:ln>
                <a:noFill/>
              </a:ln>
              <a:effectLst/>
            </c:spPr>
            <c:extLst>
              <c:ext xmlns:c16="http://schemas.microsoft.com/office/drawing/2014/chart" uri="{C3380CC4-5D6E-409C-BE32-E72D297353CC}">
                <c16:uniqueId val="{00000003-043E-4198-B49E-A8204E2A829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'Analisi dati, formula corretta'!$BH$54:$BH$55</c:f>
              <c:strCache>
                <c:ptCount val="2"/>
                <c:pt idx="0">
                  <c:v>Incremento emissioni specifiche</c:v>
                </c:pt>
                <c:pt idx="1">
                  <c:v>Diminuzione emissioni specifiche</c:v>
                </c:pt>
              </c:strCache>
            </c:strRef>
          </c:cat>
          <c:val>
            <c:numRef>
              <c:f>'Analisi dati, formula corretta'!$BP$137:$BP$138</c:f>
              <c:numCache>
                <c:formatCode>General</c:formatCode>
                <c:ptCount val="2"/>
                <c:pt idx="0">
                  <c:v>2</c:v>
                </c:pt>
                <c:pt idx="1">
                  <c:v>5</c:v>
                </c:pt>
              </c:numCache>
            </c:numRef>
          </c:val>
          <c:extLst>
            <c:ext xmlns:c16="http://schemas.microsoft.com/office/drawing/2014/chart" uri="{C3380CC4-5D6E-409C-BE32-E72D297353CC}">
              <c16:uniqueId val="{00000006-043E-4198-B49E-A8204E2A8293}"/>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delle centrali a ciclo combinato (NOx)</a:t>
            </a:r>
            <a:endParaRPr lang="it-IT"/>
          </a:p>
        </c:rich>
      </c:tx>
      <c:layout>
        <c:manualLayout>
          <c:xMode val="edge"/>
          <c:yMode val="edge"/>
          <c:x val="0.41894736128046456"/>
          <c:y val="1.278006339173001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1"/>
          <c:order val="0"/>
          <c:tx>
            <c:v>2011</c:v>
          </c:tx>
          <c:spPr>
            <a:solidFill>
              <a:schemeClr val="accent2"/>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corretta'!$BS$4:$BS$52</c15:sqref>
                  </c15:fullRef>
                </c:ext>
              </c:extLst>
              <c:f>('Analisi dati, formula corretta'!$BS$4,'Analisi dati, formula corretta'!$BS$7,'Analisi dati, formula corretta'!$BS$9,'Analisi dati, formula corretta'!$BS$11,'Analisi dati, formula corretta'!$BS$13:$BS$16,'Analisi dati, formula corretta'!$BS$19:$BS$21,'Analisi dati, formula corretta'!$BS$23:$BS$24,'Analisi dati, formula corretta'!$BS$29:$BS$30,'Analisi dati, formula corretta'!$BS$32,'Analisi dati, formula corretta'!$BS$34,'Analisi dati, formula corretta'!$BS$38:$BS$39,'Analisi dati, formula corretta'!$BS$41:$BS$42,'Analisi dati, formula corretta'!$BS$46,'Analisi dati, formula corretta'!$BS$48,'Analisi dati, formula corretta'!$BS$51)</c:f>
              <c:numCache>
                <c:formatCode>#,##0.000</c:formatCode>
                <c:ptCount val="24"/>
                <c:pt idx="0">
                  <c:v>0.11850084501441495</c:v>
                </c:pt>
                <c:pt idx="1">
                  <c:v>0.14767096134786917</c:v>
                </c:pt>
                <c:pt idx="2">
                  <c:v>0.108</c:v>
                </c:pt>
                <c:pt idx="3">
                  <c:v>0.1291306975978386</c:v>
                </c:pt>
                <c:pt idx="4">
                  <c:v>0.19520897043832824</c:v>
                </c:pt>
                <c:pt idx="5">
                  <c:v>0.12590460251046023</c:v>
                </c:pt>
                <c:pt idx="6">
                  <c:v>1.9534184823441021</c:v>
                </c:pt>
                <c:pt idx="7">
                  <c:v>0.13168528642738292</c:v>
                </c:pt>
                <c:pt idx="8">
                  <c:v>8.7832973362131028E-2</c:v>
                </c:pt>
                <c:pt idx="9">
                  <c:v>0.13687782805429866</c:v>
                </c:pt>
                <c:pt idx="10">
                  <c:v>0.12678308639770111</c:v>
                </c:pt>
                <c:pt idx="11">
                  <c:v>8.549005902752442E-2</c:v>
                </c:pt>
                <c:pt idx="12">
                  <c:v>0.15220840900600324</c:v>
                </c:pt>
                <c:pt idx="13">
                  <c:v>8.057528108884944E-2</c:v>
                </c:pt>
                <c:pt idx="14">
                  <c:v>0.14913718909718585</c:v>
                </c:pt>
                <c:pt idx="15">
                  <c:v>0.12296681847755368</c:v>
                </c:pt>
                <c:pt idx="16">
                  <c:v>0.11075290075810201</c:v>
                </c:pt>
                <c:pt idx="17">
                  <c:v>8.3093950945024433E-2</c:v>
                </c:pt>
                <c:pt idx="18">
                  <c:v>5.1379392637957273E-2</c:v>
                </c:pt>
                <c:pt idx="19">
                  <c:v>0.12512076963662899</c:v>
                </c:pt>
                <c:pt idx="20">
                  <c:v>0.12792581274624895</c:v>
                </c:pt>
                <c:pt idx="21">
                  <c:v>0.1280754757941964</c:v>
                </c:pt>
                <c:pt idx="22">
                  <c:v>0</c:v>
                </c:pt>
                <c:pt idx="23">
                  <c:v>0</c:v>
                </c:pt>
              </c:numCache>
            </c:numRef>
          </c:val>
          <c:extLst>
            <c:ext xmlns:c16="http://schemas.microsoft.com/office/drawing/2014/chart" uri="{C3380CC4-5D6E-409C-BE32-E72D297353CC}">
              <c16:uniqueId val="{00000001-818A-4167-8F4A-6BCAA422E85B}"/>
            </c:ext>
          </c:extLst>
        </c:ser>
        <c:ser>
          <c:idx val="0"/>
          <c:order val="1"/>
          <c:tx>
            <c:v>2012</c:v>
          </c:tx>
          <c:spPr>
            <a:solidFill>
              <a:schemeClr val="accent1"/>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corretta'!$BT$4:$BT$52</c15:sqref>
                  </c15:fullRef>
                </c:ext>
              </c:extLst>
              <c:f>('Analisi dati, formula corretta'!$BT$4,'Analisi dati, formula corretta'!$BT$7,'Analisi dati, formula corretta'!$BT$9,'Analisi dati, formula corretta'!$BT$11,'Analisi dati, formula corretta'!$BT$13:$BT$16,'Analisi dati, formula corretta'!$BT$19:$BT$21,'Analisi dati, formula corretta'!$BT$23:$BT$24,'Analisi dati, formula corretta'!$BT$29:$BT$30,'Analisi dati, formula corretta'!$BT$32,'Analisi dati, formula corretta'!$BT$34,'Analisi dati, formula corretta'!$BT$38:$BT$39,'Analisi dati, formula corretta'!$BT$41:$BT$42,'Analisi dati, formula corretta'!$BT$46,'Analisi dati, formula corretta'!$BT$48,'Analisi dati, formula corretta'!$BT$51)</c:f>
              <c:numCache>
                <c:formatCode>#,##0.000</c:formatCode>
                <c:ptCount val="24"/>
                <c:pt idx="0">
                  <c:v>0.12567870296540989</c:v>
                </c:pt>
                <c:pt idx="1">
                  <c:v>0.14378238341968913</c:v>
                </c:pt>
                <c:pt idx="2">
                  <c:v>8.5000000000000006E-2</c:v>
                </c:pt>
                <c:pt idx="3">
                  <c:v>0.13276937025112237</c:v>
                </c:pt>
                <c:pt idx="4">
                  <c:v>0.20815836832633472</c:v>
                </c:pt>
                <c:pt idx="5">
                  <c:v>0.12778512820512822</c:v>
                </c:pt>
                <c:pt idx="6">
                  <c:v>1.8045197580815697</c:v>
                </c:pt>
                <c:pt idx="7">
                  <c:v>0.15059735227639651</c:v>
                </c:pt>
                <c:pt idx="8">
                  <c:v>8.1646423751686903E-2</c:v>
                </c:pt>
                <c:pt idx="9">
                  <c:v>0.12993421052631579</c:v>
                </c:pt>
                <c:pt idx="10">
                  <c:v>0.11474926427297222</c:v>
                </c:pt>
                <c:pt idx="11">
                  <c:v>0.10435948529998507</c:v>
                </c:pt>
                <c:pt idx="12">
                  <c:v>0.15639559912592843</c:v>
                </c:pt>
                <c:pt idx="13">
                  <c:v>0.11888736062743262</c:v>
                </c:pt>
                <c:pt idx="14">
                  <c:v>0.17609281862049392</c:v>
                </c:pt>
                <c:pt idx="15">
                  <c:v>9.8820058997050153E-2</c:v>
                </c:pt>
                <c:pt idx="16">
                  <c:v>0.13495953848878772</c:v>
                </c:pt>
                <c:pt idx="17">
                  <c:v>8.270956732587284E-2</c:v>
                </c:pt>
                <c:pt idx="18">
                  <c:v>5.6414754221189911E-2</c:v>
                </c:pt>
                <c:pt idx="19">
                  <c:v>0.11718227678842766</c:v>
                </c:pt>
                <c:pt idx="20">
                  <c:v>0.11784313211536614</c:v>
                </c:pt>
                <c:pt idx="21">
                  <c:v>0.13032801658105794</c:v>
                </c:pt>
                <c:pt idx="22">
                  <c:v>0</c:v>
                </c:pt>
                <c:pt idx="23">
                  <c:v>0.111</c:v>
                </c:pt>
              </c:numCache>
            </c:numRef>
          </c:val>
          <c:extLst>
            <c:ext xmlns:c16="http://schemas.microsoft.com/office/drawing/2014/chart" uri="{C3380CC4-5D6E-409C-BE32-E72D297353CC}">
              <c16:uniqueId val="{00000002-818A-4167-8F4A-6BCAA422E85B}"/>
            </c:ext>
          </c:extLst>
        </c:ser>
        <c:ser>
          <c:idx val="2"/>
          <c:order val="2"/>
          <c:tx>
            <c:v>2013</c:v>
          </c:tx>
          <c:spPr>
            <a:solidFill>
              <a:schemeClr val="accent3"/>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corretta'!$BU$4:$BU$52</c15:sqref>
                  </c15:fullRef>
                </c:ext>
              </c:extLst>
              <c:f>('Analisi dati, formula corretta'!$BU$4,'Analisi dati, formula corretta'!$BU$7,'Analisi dati, formula corretta'!$BU$9,'Analisi dati, formula corretta'!$BU$11,'Analisi dati, formula corretta'!$BU$13:$BU$16,'Analisi dati, formula corretta'!$BU$19:$BU$21,'Analisi dati, formula corretta'!$BU$23:$BU$24,'Analisi dati, formula corretta'!$BU$29:$BU$30,'Analisi dati, formula corretta'!$BU$32,'Analisi dati, formula corretta'!$BU$34,'Analisi dati, formula corretta'!$BU$38:$BU$39,'Analisi dati, formula corretta'!$BU$41:$BU$42,'Analisi dati, formula corretta'!$BU$46,'Analisi dati, formula corretta'!$BU$48,'Analisi dati, formula corretta'!$BU$51)</c:f>
              <c:numCache>
                <c:formatCode>#,##0.000</c:formatCode>
                <c:ptCount val="24"/>
                <c:pt idx="0">
                  <c:v>0.13744699517473316</c:v>
                </c:pt>
                <c:pt idx="1">
                  <c:v>0.13787366046249294</c:v>
                </c:pt>
                <c:pt idx="2">
                  <c:v>9.7532174892750359E-2</c:v>
                </c:pt>
                <c:pt idx="3">
                  <c:v>0.13990765230201521</c:v>
                </c:pt>
                <c:pt idx="4">
                  <c:v>0.15676959619952494</c:v>
                </c:pt>
                <c:pt idx="5">
                  <c:v>0</c:v>
                </c:pt>
                <c:pt idx="6">
                  <c:v>0.34637657628402879</c:v>
                </c:pt>
                <c:pt idx="7">
                  <c:v>0.14591920857378401</c:v>
                </c:pt>
                <c:pt idx="8">
                  <c:v>8.012651555086979E-2</c:v>
                </c:pt>
                <c:pt idx="9">
                  <c:v>0.14903846153846154</c:v>
                </c:pt>
                <c:pt idx="10">
                  <c:v>0.10074875337832538</c:v>
                </c:pt>
                <c:pt idx="11">
                  <c:v>0.10263989843197101</c:v>
                </c:pt>
                <c:pt idx="12">
                  <c:v>0.11150898354064581</c:v>
                </c:pt>
                <c:pt idx="13">
                  <c:v>0.17310711695289926</c:v>
                </c:pt>
                <c:pt idx="14">
                  <c:v>0.10377827031274324</c:v>
                </c:pt>
                <c:pt idx="15">
                  <c:v>9.1034482758620694E-2</c:v>
                </c:pt>
                <c:pt idx="16">
                  <c:v>0.10617068659165481</c:v>
                </c:pt>
                <c:pt idx="17">
                  <c:v>8.1022654865906041E-2</c:v>
                </c:pt>
                <c:pt idx="18">
                  <c:v>5.8510702820572649E-2</c:v>
                </c:pt>
                <c:pt idx="19">
                  <c:v>0.15679410409949332</c:v>
                </c:pt>
                <c:pt idx="20">
                  <c:v>0.15173155020810339</c:v>
                </c:pt>
                <c:pt idx="21">
                  <c:v>0.13547267262181956</c:v>
                </c:pt>
                <c:pt idx="22">
                  <c:v>0.11515337423312882</c:v>
                </c:pt>
                <c:pt idx="23">
                  <c:v>0.11</c:v>
                </c:pt>
              </c:numCache>
            </c:numRef>
          </c:val>
          <c:extLst>
            <c:ext xmlns:c16="http://schemas.microsoft.com/office/drawing/2014/chart" uri="{C3380CC4-5D6E-409C-BE32-E72D297353CC}">
              <c16:uniqueId val="{00000003-818A-4167-8F4A-6BCAA422E85B}"/>
            </c:ext>
          </c:extLst>
        </c:ser>
        <c:ser>
          <c:idx val="3"/>
          <c:order val="3"/>
          <c:tx>
            <c:v>2014</c:v>
          </c:tx>
          <c:spPr>
            <a:solidFill>
              <a:schemeClr val="accent4"/>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corretta'!$BV$4:$BV$52</c15:sqref>
                  </c15:fullRef>
                </c:ext>
              </c:extLst>
              <c:f>('Analisi dati, formula corretta'!$BV$4,'Analisi dati, formula corretta'!$BV$7,'Analisi dati, formula corretta'!$BV$9,'Analisi dati, formula corretta'!$BV$11,'Analisi dati, formula corretta'!$BV$13:$BV$16,'Analisi dati, formula corretta'!$BV$19:$BV$21,'Analisi dati, formula corretta'!$BV$23:$BV$24,'Analisi dati, formula corretta'!$BV$29:$BV$30,'Analisi dati, formula corretta'!$BV$32,'Analisi dati, formula corretta'!$BV$34,'Analisi dati, formula corretta'!$BV$38:$BV$39,'Analisi dati, formula corretta'!$BV$41:$BV$42,'Analisi dati, formula corretta'!$BV$46,'Analisi dati, formula corretta'!$BV$48,'Analisi dati, formula corretta'!$BV$51)</c:f>
              <c:numCache>
                <c:formatCode>#,##0.000</c:formatCode>
                <c:ptCount val="24"/>
                <c:pt idx="0">
                  <c:v>0.1280737704918033</c:v>
                </c:pt>
                <c:pt idx="1">
                  <c:v>0.15240585774058577</c:v>
                </c:pt>
                <c:pt idx="2">
                  <c:v>8.3000000000000004E-2</c:v>
                </c:pt>
                <c:pt idx="3">
                  <c:v>0.13079026731126719</c:v>
                </c:pt>
                <c:pt idx="4">
                  <c:v>0.13050314465408805</c:v>
                </c:pt>
                <c:pt idx="5">
                  <c:v>0</c:v>
                </c:pt>
                <c:pt idx="6">
                  <c:v>0.22571393436445064</c:v>
                </c:pt>
                <c:pt idx="7">
                  <c:v>0.14976430976430977</c:v>
                </c:pt>
                <c:pt idx="8">
                  <c:v>0.10709117221418236</c:v>
                </c:pt>
                <c:pt idx="9">
                  <c:v>0.16862745098039214</c:v>
                </c:pt>
                <c:pt idx="10">
                  <c:v>9.7574461355037292E-2</c:v>
                </c:pt>
                <c:pt idx="11">
                  <c:v>5.5803466067324344E-2</c:v>
                </c:pt>
                <c:pt idx="12">
                  <c:v>0.10410079291725448</c:v>
                </c:pt>
                <c:pt idx="13">
                  <c:v>0.14807371076046663</c:v>
                </c:pt>
                <c:pt idx="14">
                  <c:v>0.12405725330671957</c:v>
                </c:pt>
                <c:pt idx="15">
                  <c:v>8.4925690021231418E-2</c:v>
                </c:pt>
                <c:pt idx="16">
                  <c:v>9.8235967440086849E-2</c:v>
                </c:pt>
                <c:pt idx="17">
                  <c:v>8.2837662459336797E-2</c:v>
                </c:pt>
                <c:pt idx="18">
                  <c:v>6.5568455232876355E-2</c:v>
                </c:pt>
                <c:pt idx="19">
                  <c:v>0.23438829334694572</c:v>
                </c:pt>
                <c:pt idx="20">
                  <c:v>0.15618515039646999</c:v>
                </c:pt>
                <c:pt idx="21">
                  <c:v>0.13183483334087107</c:v>
                </c:pt>
                <c:pt idx="22">
                  <c:v>0.12464393939393939</c:v>
                </c:pt>
                <c:pt idx="23">
                  <c:v>0.107</c:v>
                </c:pt>
              </c:numCache>
            </c:numRef>
          </c:val>
          <c:extLst>
            <c:ext xmlns:c16="http://schemas.microsoft.com/office/drawing/2014/chart" uri="{C3380CC4-5D6E-409C-BE32-E72D297353CC}">
              <c16:uniqueId val="{00000004-818A-4167-8F4A-6BCAA422E85B}"/>
            </c:ext>
          </c:extLst>
        </c:ser>
        <c:ser>
          <c:idx val="4"/>
          <c:order val="4"/>
          <c:tx>
            <c:v>2015</c:v>
          </c:tx>
          <c:spPr>
            <a:solidFill>
              <a:schemeClr val="accent5"/>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corretta'!$BW$4:$BW$52</c15:sqref>
                  </c15:fullRef>
                </c:ext>
              </c:extLst>
              <c:f>('Analisi dati, formula corretta'!$BW$4,'Analisi dati, formula corretta'!$BW$7,'Analisi dati, formula corretta'!$BW$9,'Analisi dati, formula corretta'!$BW$11,'Analisi dati, formula corretta'!$BW$13:$BW$16,'Analisi dati, formula corretta'!$BW$19:$BW$21,'Analisi dati, formula corretta'!$BW$23:$BW$24,'Analisi dati, formula corretta'!$BW$29:$BW$30,'Analisi dati, formula corretta'!$BW$32,'Analisi dati, formula corretta'!$BW$34,'Analisi dati, formula corretta'!$BW$38:$BW$39,'Analisi dati, formula corretta'!$BW$41:$BW$42,'Analisi dati, formula corretta'!$BW$46,'Analisi dati, formula corretta'!$BW$48,'Analisi dati, formula corretta'!$BW$51)</c:f>
              <c:numCache>
                <c:formatCode>#,##0.000</c:formatCode>
                <c:ptCount val="24"/>
                <c:pt idx="0">
                  <c:v>0.13492598912655263</c:v>
                </c:pt>
                <c:pt idx="1">
                  <c:v>0.14328358208955225</c:v>
                </c:pt>
                <c:pt idx="2">
                  <c:v>8.8999999999999996E-2</c:v>
                </c:pt>
                <c:pt idx="3">
                  <c:v>0.12175080227742363</c:v>
                </c:pt>
                <c:pt idx="4">
                  <c:v>0.13140726933830382</c:v>
                </c:pt>
                <c:pt idx="5">
                  <c:v>0.12135703837065376</c:v>
                </c:pt>
                <c:pt idx="6">
                  <c:v>0.21779650715182949</c:v>
                </c:pt>
                <c:pt idx="7">
                  <c:v>0.15017513134851138</c:v>
                </c:pt>
                <c:pt idx="8">
                  <c:v>0.13391877058177826</c:v>
                </c:pt>
                <c:pt idx="9">
                  <c:v>0.13231552162849872</c:v>
                </c:pt>
                <c:pt idx="10">
                  <c:v>7.6960263978328974E-2</c:v>
                </c:pt>
                <c:pt idx="11">
                  <c:v>0.11474710125900854</c:v>
                </c:pt>
                <c:pt idx="12">
                  <c:v>0.11180054782268434</c:v>
                </c:pt>
                <c:pt idx="13">
                  <c:v>9.6283579685045709E-2</c:v>
                </c:pt>
                <c:pt idx="14">
                  <c:v>0.18528916339135318</c:v>
                </c:pt>
                <c:pt idx="15">
                  <c:v>8.3687943262411343E-2</c:v>
                </c:pt>
                <c:pt idx="16">
                  <c:v>9.5812353200687136E-2</c:v>
                </c:pt>
                <c:pt idx="17">
                  <c:v>8.0070611332014652E-2</c:v>
                </c:pt>
                <c:pt idx="18">
                  <c:v>6.711451889653601E-2</c:v>
                </c:pt>
                <c:pt idx="19">
                  <c:v>0.17899472691209908</c:v>
                </c:pt>
                <c:pt idx="20">
                  <c:v>0.10949726916823385</c:v>
                </c:pt>
                <c:pt idx="21">
                  <c:v>0.13173175595064285</c:v>
                </c:pt>
                <c:pt idx="22">
                  <c:v>0.11548431824689907</c:v>
                </c:pt>
                <c:pt idx="23">
                  <c:v>0.10391901931649332</c:v>
                </c:pt>
              </c:numCache>
            </c:numRef>
          </c:val>
          <c:extLst>
            <c:ext xmlns:c16="http://schemas.microsoft.com/office/drawing/2014/chart" uri="{C3380CC4-5D6E-409C-BE32-E72D297353CC}">
              <c16:uniqueId val="{00000005-818A-4167-8F4A-6BCAA422E85B}"/>
            </c:ext>
          </c:extLst>
        </c:ser>
        <c:ser>
          <c:idx val="5"/>
          <c:order val="5"/>
          <c:tx>
            <c:v>2016</c:v>
          </c:tx>
          <c:spPr>
            <a:solidFill>
              <a:schemeClr val="accent6"/>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corretta'!$BX$4:$BX$52</c15:sqref>
                  </c15:fullRef>
                </c:ext>
              </c:extLst>
              <c:f>('Analisi dati, formula corretta'!$BX$4,'Analisi dati, formula corretta'!$BX$7,'Analisi dati, formula corretta'!$BX$9,'Analisi dati, formula corretta'!$BX$11,'Analisi dati, formula corretta'!$BX$13:$BX$16,'Analisi dati, formula corretta'!$BX$19:$BX$21,'Analisi dati, formula corretta'!$BX$23:$BX$24,'Analisi dati, formula corretta'!$BX$29:$BX$30,'Analisi dati, formula corretta'!$BX$32,'Analisi dati, formula corretta'!$BX$34,'Analisi dati, formula corretta'!$BX$38:$BX$39,'Analisi dati, formula corretta'!$BX$41:$BX$42,'Analisi dati, formula corretta'!$BX$46,'Analisi dati, formula corretta'!$BX$48,'Analisi dati, formula corretta'!$BX$51)</c:f>
              <c:numCache>
                <c:formatCode>#,##0.000</c:formatCode>
                <c:ptCount val="24"/>
                <c:pt idx="0">
                  <c:v>0.13309882587821459</c:v>
                </c:pt>
                <c:pt idx="1">
                  <c:v>0.14646239554317547</c:v>
                </c:pt>
                <c:pt idx="2">
                  <c:v>9.4985223255645457E-2</c:v>
                </c:pt>
                <c:pt idx="3">
                  <c:v>0.12576419230170124</c:v>
                </c:pt>
                <c:pt idx="4">
                  <c:v>0.13324873096446702</c:v>
                </c:pt>
                <c:pt idx="5">
                  <c:v>0.12967381208224818</c:v>
                </c:pt>
                <c:pt idx="6">
                  <c:v>0.23121026073643594</c:v>
                </c:pt>
                <c:pt idx="7">
                  <c:v>0.15061074918566775</c:v>
                </c:pt>
                <c:pt idx="8">
                  <c:v>8.4133942729223032E-2</c:v>
                </c:pt>
                <c:pt idx="9">
                  <c:v>0.16764705882352943</c:v>
                </c:pt>
                <c:pt idx="10">
                  <c:v>7.2768911091849686E-2</c:v>
                </c:pt>
                <c:pt idx="11">
                  <c:v>0.11387521878703682</c:v>
                </c:pt>
                <c:pt idx="12">
                  <c:v>0.1128771573987606</c:v>
                </c:pt>
                <c:pt idx="13">
                  <c:v>0.12654668166479188</c:v>
                </c:pt>
                <c:pt idx="14">
                  <c:v>0.12687949679031493</c:v>
                </c:pt>
                <c:pt idx="15">
                  <c:v>8.2666666666666666E-2</c:v>
                </c:pt>
                <c:pt idx="16">
                  <c:v>0.10358413315838037</c:v>
                </c:pt>
                <c:pt idx="17">
                  <c:v>7.1990787691623204E-2</c:v>
                </c:pt>
                <c:pt idx="18">
                  <c:v>7.8293436789735396E-2</c:v>
                </c:pt>
                <c:pt idx="19">
                  <c:v>9.8239136475164718E-2</c:v>
                </c:pt>
                <c:pt idx="20">
                  <c:v>8.8641689888108929E-2</c:v>
                </c:pt>
                <c:pt idx="21">
                  <c:v>0.11767436877254384</c:v>
                </c:pt>
                <c:pt idx="22">
                  <c:v>0.1066530600515715</c:v>
                </c:pt>
                <c:pt idx="23">
                  <c:v>0.10354311505430008</c:v>
                </c:pt>
              </c:numCache>
            </c:numRef>
          </c:val>
          <c:extLst>
            <c:ext xmlns:c16="http://schemas.microsoft.com/office/drawing/2014/chart" uri="{C3380CC4-5D6E-409C-BE32-E72D297353CC}">
              <c16:uniqueId val="{00000006-818A-4167-8F4A-6BCAA422E85B}"/>
            </c:ext>
          </c:extLst>
        </c:ser>
        <c:ser>
          <c:idx val="6"/>
          <c:order val="6"/>
          <c:tx>
            <c:v>2017</c:v>
          </c:tx>
          <c:spPr>
            <a:solidFill>
              <a:schemeClr val="accent1">
                <a:lumMod val="60000"/>
              </a:schemeClr>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corretta'!$BY$4:$BY$52</c15:sqref>
                  </c15:fullRef>
                </c:ext>
              </c:extLst>
              <c:f>('Analisi dati, formula corretta'!$BY$4,'Analisi dati, formula corretta'!$BY$7,'Analisi dati, formula corretta'!$BY$9,'Analisi dati, formula corretta'!$BY$11,'Analisi dati, formula corretta'!$BY$13:$BY$16,'Analisi dati, formula corretta'!$BY$19:$BY$21,'Analisi dati, formula corretta'!$BY$23:$BY$24,'Analisi dati, formula corretta'!$BY$29:$BY$30,'Analisi dati, formula corretta'!$BY$32,'Analisi dati, formula corretta'!$BY$34,'Analisi dati, formula corretta'!$BY$38:$BY$39,'Analisi dati, formula corretta'!$BY$41:$BY$42,'Analisi dati, formula corretta'!$BY$46,'Analisi dati, formula corretta'!$BY$48,'Analisi dati, formula corretta'!$BY$51)</c:f>
              <c:numCache>
                <c:formatCode>#,##0.000</c:formatCode>
                <c:ptCount val="24"/>
                <c:pt idx="0">
                  <c:v>0.13</c:v>
                </c:pt>
                <c:pt idx="1">
                  <c:v>0.14107485604606526</c:v>
                </c:pt>
                <c:pt idx="2">
                  <c:v>0.11085626911314984</c:v>
                </c:pt>
                <c:pt idx="3">
                  <c:v>0.12602966445451047</c:v>
                </c:pt>
                <c:pt idx="4">
                  <c:v>0.13335995443094467</c:v>
                </c:pt>
                <c:pt idx="5">
                  <c:v>0.11954801449501502</c:v>
                </c:pt>
                <c:pt idx="6">
                  <c:v>0.24331107235526819</c:v>
                </c:pt>
                <c:pt idx="7">
                  <c:v>0.14997307485191169</c:v>
                </c:pt>
                <c:pt idx="8">
                  <c:v>0.10128346951723792</c:v>
                </c:pt>
                <c:pt idx="9">
                  <c:v>0.12967381981538253</c:v>
                </c:pt>
                <c:pt idx="10">
                  <c:v>7.6854081475723077E-2</c:v>
                </c:pt>
                <c:pt idx="11">
                  <c:v>0.11809505381610987</c:v>
                </c:pt>
                <c:pt idx="12">
                  <c:v>0.10695837095541613</c:v>
                </c:pt>
                <c:pt idx="13">
                  <c:v>0.1126475663390922</c:v>
                </c:pt>
                <c:pt idx="14">
                  <c:v>0.14227326814630864</c:v>
                </c:pt>
                <c:pt idx="15">
                  <c:v>6.8077276908923637E-2</c:v>
                </c:pt>
                <c:pt idx="16">
                  <c:v>0.10264039451838662</c:v>
                </c:pt>
                <c:pt idx="17">
                  <c:v>9.9510253254065942E-2</c:v>
                </c:pt>
                <c:pt idx="18">
                  <c:v>7.0268262523332112E-2</c:v>
                </c:pt>
                <c:pt idx="19">
                  <c:v>8.4235026122267062E-2</c:v>
                </c:pt>
                <c:pt idx="20">
                  <c:v>8.3000075454614047E-2</c:v>
                </c:pt>
                <c:pt idx="21">
                  <c:v>0.10257111285784264</c:v>
                </c:pt>
                <c:pt idx="22">
                  <c:v>0.10287612246861048</c:v>
                </c:pt>
                <c:pt idx="23">
                  <c:v>0.11134114992202927</c:v>
                </c:pt>
              </c:numCache>
            </c:numRef>
          </c:val>
          <c:extLst>
            <c:ext xmlns:c16="http://schemas.microsoft.com/office/drawing/2014/chart" uri="{C3380CC4-5D6E-409C-BE32-E72D297353CC}">
              <c16:uniqueId val="{00000007-818A-4167-8F4A-6BCAA422E85B}"/>
            </c:ext>
          </c:extLst>
        </c:ser>
        <c:ser>
          <c:idx val="7"/>
          <c:order val="7"/>
          <c:tx>
            <c:v>2018</c:v>
          </c:tx>
          <c:spPr>
            <a:solidFill>
              <a:schemeClr val="accent2">
                <a:lumMod val="60000"/>
              </a:schemeClr>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corretta'!$BZ$4:$BZ$52</c15:sqref>
                  </c15:fullRef>
                </c:ext>
              </c:extLst>
              <c:f>('Analisi dati, formula corretta'!$BZ$4,'Analisi dati, formula corretta'!$BZ$7,'Analisi dati, formula corretta'!$BZ$9,'Analisi dati, formula corretta'!$BZ$11,'Analisi dati, formula corretta'!$BZ$13:$BZ$16,'Analisi dati, formula corretta'!$BZ$19:$BZ$21,'Analisi dati, formula corretta'!$BZ$23:$BZ$24,'Analisi dati, formula corretta'!$BZ$29:$BZ$30,'Analisi dati, formula corretta'!$BZ$32,'Analisi dati, formula corretta'!$BZ$34,'Analisi dati, formula corretta'!$BZ$38:$BZ$39,'Analisi dati, formula corretta'!$BZ$41:$BZ$42,'Analisi dati, formula corretta'!$BZ$46,'Analisi dati, formula corretta'!$BZ$48,'Analisi dati, formula corretta'!$BZ$51)</c:f>
              <c:numCache>
                <c:formatCode>#,##0.000</c:formatCode>
                <c:ptCount val="24"/>
                <c:pt idx="0">
                  <c:v>0.14000000000000001</c:v>
                </c:pt>
                <c:pt idx="1">
                  <c:v>0.14004335707649426</c:v>
                </c:pt>
                <c:pt idx="2">
                  <c:v>0.12256973795435334</c:v>
                </c:pt>
                <c:pt idx="3">
                  <c:v>0.12142796319742924</c:v>
                </c:pt>
                <c:pt idx="4">
                  <c:v>0.12850709767080887</c:v>
                </c:pt>
                <c:pt idx="5">
                  <c:v>0.12790227747417815</c:v>
                </c:pt>
                <c:pt idx="6">
                  <c:v>0.27912275704927375</c:v>
                </c:pt>
                <c:pt idx="7">
                  <c:v>0.1489841986455982</c:v>
                </c:pt>
                <c:pt idx="8">
                  <c:v>9.6737284884632457E-2</c:v>
                </c:pt>
                <c:pt idx="9">
                  <c:v>0.11621661845877092</c:v>
                </c:pt>
                <c:pt idx="10">
                  <c:v>8.5470402078074131E-2</c:v>
                </c:pt>
                <c:pt idx="11">
                  <c:v>0.11564159233738687</c:v>
                </c:pt>
                <c:pt idx="12">
                  <c:v>0.10496780328645439</c:v>
                </c:pt>
                <c:pt idx="13">
                  <c:v>0.1429913321677021</c:v>
                </c:pt>
                <c:pt idx="14">
                  <c:v>0.13391903122402946</c:v>
                </c:pt>
                <c:pt idx="15">
                  <c:v>5.5964653902798235E-2</c:v>
                </c:pt>
                <c:pt idx="16">
                  <c:v>0.11138538974390004</c:v>
                </c:pt>
                <c:pt idx="17">
                  <c:v>0.10536767324372122</c:v>
                </c:pt>
                <c:pt idx="18">
                  <c:v>6.9511248640543338E-2</c:v>
                </c:pt>
                <c:pt idx="19">
                  <c:v>7.2909296264881809E-2</c:v>
                </c:pt>
                <c:pt idx="20">
                  <c:v>7.5841957674030708E-2</c:v>
                </c:pt>
                <c:pt idx="21">
                  <c:v>8.7738283526179961E-2</c:v>
                </c:pt>
                <c:pt idx="22">
                  <c:v>9.9770402039054629E-2</c:v>
                </c:pt>
                <c:pt idx="23">
                  <c:v>0.11301736952131661</c:v>
                </c:pt>
              </c:numCache>
            </c:numRef>
          </c:val>
          <c:extLst>
            <c:ext xmlns:c16="http://schemas.microsoft.com/office/drawing/2014/chart" uri="{C3380CC4-5D6E-409C-BE32-E72D297353CC}">
              <c16:uniqueId val="{00000008-818A-4167-8F4A-6BCAA422E85B}"/>
            </c:ext>
          </c:extLst>
        </c:ser>
        <c:ser>
          <c:idx val="8"/>
          <c:order val="8"/>
          <c:tx>
            <c:v>2019</c:v>
          </c:tx>
          <c:spPr>
            <a:solidFill>
              <a:schemeClr val="accent3">
                <a:lumMod val="60000"/>
              </a:schemeClr>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corretta'!$CA$4:$CA$52</c15:sqref>
                  </c15:fullRef>
                </c:ext>
              </c:extLst>
              <c:f>('Analisi dati, formula corretta'!$CA$4,'Analisi dati, formula corretta'!$CA$7,'Analisi dati, formula corretta'!$CA$9,'Analisi dati, formula corretta'!$CA$11,'Analisi dati, formula corretta'!$CA$13:$CA$16,'Analisi dati, formula corretta'!$CA$19:$CA$21,'Analisi dati, formula corretta'!$CA$23:$CA$24,'Analisi dati, formula corretta'!$CA$29:$CA$30,'Analisi dati, formula corretta'!$CA$32,'Analisi dati, formula corretta'!$CA$34,'Analisi dati, formula corretta'!$CA$38:$CA$39,'Analisi dati, formula corretta'!$CA$41:$CA$42,'Analisi dati, formula corretta'!$CA$46,'Analisi dati, formula corretta'!$CA$48,'Analisi dati, formula corretta'!$CA$51)</c:f>
              <c:numCache>
                <c:formatCode>#,##0.000</c:formatCode>
                <c:ptCount val="24"/>
                <c:pt idx="0">
                  <c:v>0.14000000000000001</c:v>
                </c:pt>
                <c:pt idx="1">
                  <c:v>0.14288532675709001</c:v>
                </c:pt>
                <c:pt idx="2">
                  <c:v>0.10117361392148927</c:v>
                </c:pt>
                <c:pt idx="3">
                  <c:v>0.12793297736587281</c:v>
                </c:pt>
                <c:pt idx="4">
                  <c:v>0.12663973378071014</c:v>
                </c:pt>
                <c:pt idx="5">
                  <c:v>0.12241435131028257</c:v>
                </c:pt>
                <c:pt idx="6">
                  <c:v>0.21451555237754741</c:v>
                </c:pt>
                <c:pt idx="7">
                  <c:v>0.15529324972334932</c:v>
                </c:pt>
                <c:pt idx="8">
                  <c:v>0.11078258447619854</c:v>
                </c:pt>
                <c:pt idx="9">
                  <c:v>0.12906260508203446</c:v>
                </c:pt>
                <c:pt idx="10">
                  <c:v>9.7177040102797596E-2</c:v>
                </c:pt>
                <c:pt idx="11">
                  <c:v>0.10742740720321947</c:v>
                </c:pt>
                <c:pt idx="12">
                  <c:v>0.14316904952637227</c:v>
                </c:pt>
                <c:pt idx="13">
                  <c:v>0.14881323393752025</c:v>
                </c:pt>
                <c:pt idx="14">
                  <c:v>0.12895420342127115</c:v>
                </c:pt>
                <c:pt idx="15">
                  <c:v>5.3030303030303032E-2</c:v>
                </c:pt>
                <c:pt idx="16">
                  <c:v>0.12336947104642644</c:v>
                </c:pt>
                <c:pt idx="17">
                  <c:v>9.8549380242971871E-2</c:v>
                </c:pt>
                <c:pt idx="18">
                  <c:v>8.1721760248930603E-2</c:v>
                </c:pt>
                <c:pt idx="19">
                  <c:v>0</c:v>
                </c:pt>
                <c:pt idx="20">
                  <c:v>9.3498829567973812E-2</c:v>
                </c:pt>
                <c:pt idx="21">
                  <c:v>9.0848407667435183E-2</c:v>
                </c:pt>
                <c:pt idx="22">
                  <c:v>0.10089192543112134</c:v>
                </c:pt>
                <c:pt idx="23">
                  <c:v>0.1185665380403239</c:v>
                </c:pt>
              </c:numCache>
            </c:numRef>
          </c:val>
          <c:extLst>
            <c:ext xmlns:c16="http://schemas.microsoft.com/office/drawing/2014/chart" uri="{C3380CC4-5D6E-409C-BE32-E72D297353CC}">
              <c16:uniqueId val="{00000009-818A-4167-8F4A-6BCAA422E85B}"/>
            </c:ext>
          </c:extLst>
        </c:ser>
        <c:dLbls>
          <c:showLegendKey val="0"/>
          <c:showVal val="0"/>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 generali delle emissioni specifiche (CO</a:t>
            </a:r>
            <a:r>
              <a:rPr lang="it-IT" baseline="-25000"/>
              <a:t>2</a:t>
            </a:r>
            <a:r>
              <a:rPr lang="it-IT"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pieChart>
        <c:varyColors val="1"/>
        <c:ser>
          <c:idx val="0"/>
          <c:order val="0"/>
          <c:spPr>
            <a:solidFill>
              <a:srgbClr val="CC3300"/>
            </a:solidFill>
          </c:spPr>
          <c:dPt>
            <c:idx val="0"/>
            <c:bubble3D val="0"/>
            <c:spPr>
              <a:solidFill>
                <a:srgbClr val="FF0000"/>
              </a:solidFill>
              <a:ln>
                <a:noFill/>
              </a:ln>
              <a:effectLst/>
            </c:spPr>
            <c:extLst>
              <c:ext xmlns:c16="http://schemas.microsoft.com/office/drawing/2014/chart" uri="{C3380CC4-5D6E-409C-BE32-E72D297353CC}">
                <c16:uniqueId val="{00000001-F979-44E9-9E25-65FCE15CD57F}"/>
              </c:ext>
            </c:extLst>
          </c:dPt>
          <c:dPt>
            <c:idx val="1"/>
            <c:bubble3D val="0"/>
            <c:spPr>
              <a:solidFill>
                <a:srgbClr val="92D050"/>
              </a:solidFill>
              <a:ln>
                <a:noFill/>
              </a:ln>
              <a:effectLst/>
            </c:spPr>
            <c:extLst>
              <c:ext xmlns:c16="http://schemas.microsoft.com/office/drawing/2014/chart" uri="{C3380CC4-5D6E-409C-BE32-E72D297353CC}">
                <c16:uniqueId val="{00000003-F979-44E9-9E25-65FCE15CD57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'Analisi dati, formula corretta'!$BH$54:$BH$55</c:f>
              <c:strCache>
                <c:ptCount val="2"/>
                <c:pt idx="0">
                  <c:v>Incremento emissioni specifiche</c:v>
                </c:pt>
                <c:pt idx="1">
                  <c:v>Diminuzione emissioni specifiche</c:v>
                </c:pt>
              </c:strCache>
            </c:strRef>
          </c:cat>
          <c:val>
            <c:numRef>
              <c:f>'Analisi dati, formula corretta'!$BF$54:$BF$55</c:f>
              <c:numCache>
                <c:formatCode>General</c:formatCode>
                <c:ptCount val="2"/>
                <c:pt idx="0">
                  <c:v>21</c:v>
                </c:pt>
                <c:pt idx="1">
                  <c:v>28</c:v>
                </c:pt>
              </c:numCache>
            </c:numRef>
          </c:val>
          <c:extLst>
            <c:ext xmlns:c16="http://schemas.microsoft.com/office/drawing/2014/chart" uri="{C3380CC4-5D6E-409C-BE32-E72D297353CC}">
              <c16:uniqueId val="{00000006-F979-44E9-9E25-65FCE15CD57F}"/>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specifiche delle centrali a ciclo combinato in % di variazione (NOx)</a:t>
            </a:r>
            <a:endParaRPr lang="it-IT"/>
          </a:p>
        </c:rich>
      </c:tx>
      <c:layout>
        <c:manualLayout>
          <c:xMode val="edge"/>
          <c:yMode val="edge"/>
          <c:x val="0.23762250662977055"/>
          <c:y val="1.058201205155078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3"/>
          <c:order val="3"/>
          <c:tx>
            <c:v>Variazioni</c:v>
          </c:tx>
          <c:spPr>
            <a:solidFill>
              <a:schemeClr val="accent4"/>
            </a:solidFill>
            <a:ln>
              <a:noFill/>
            </a:ln>
            <a:effectLst/>
          </c:spPr>
          <c:invertIfNegative val="0"/>
          <c:dLbls>
            <c:dLbl>
              <c:idx val="1"/>
              <c:layout>
                <c:manualLayout>
                  <c:x val="-1.0473077147985598E-17"/>
                  <c:y val="-2.22222222222222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CCF-4AC1-AF84-2031E0AA607C}"/>
                </c:ext>
              </c:extLst>
            </c:dLbl>
            <c:dLbl>
              <c:idx val="5"/>
              <c:layout>
                <c:manualLayout>
                  <c:x val="-4.1863610315804736E-17"/>
                  <c:y val="-1.80701120346945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CCF-4AC1-AF84-2031E0AA607C}"/>
                </c:ext>
              </c:extLst>
            </c:dLbl>
            <c:dLbl>
              <c:idx val="9"/>
              <c:layout>
                <c:manualLayout>
                  <c:x val="0"/>
                  <c:y val="-2.18125139995834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7E-499F-A10E-E3679F8A2B93}"/>
                </c:ext>
              </c:extLst>
            </c:dLbl>
            <c:dLbl>
              <c:idx val="17"/>
              <c:layout>
                <c:manualLayout>
                  <c:x val="0"/>
                  <c:y val="-2.72656424994792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F7E-499F-A10E-E3679F8A2B9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numLit>
          </c:cat>
          <c:val>
            <c:numRef>
              <c:f>('Analisi dati, formula corretta'!$CE$4,'Analisi dati, formula corretta'!$CE$7,'Analisi dati, formula corretta'!$CE$9,'Analisi dati, formula corretta'!$CE$11,'Analisi dati, formula corretta'!$CE$13,'Analisi dati, formula corretta'!$CE$14,'Analisi dati, formula corretta'!$CE$15,'Analisi dati, formula corretta'!$CE$16,'Analisi dati, formula corretta'!$CE$19,'Analisi dati, formula corretta'!$CE$20,'Analisi dati, formula corretta'!$CE$21,'Analisi dati, formula corretta'!$CE$23,'Analisi dati, formula corretta'!$CE$24,'Analisi dati, formula corretta'!$CE$29,'Analisi dati, formula corretta'!$CE$30,'Analisi dati, formula corretta'!$CE$32,'Analisi dati, formula corretta'!$CE$34,'Analisi dati, formula corretta'!$CE$38,'Analisi dati, formula corretta'!$CE$39,'Analisi dati, formula corretta'!$CE$41,'Analisi dati, formula corretta'!$CE$42,'Analisi dati, formula corretta'!$CE$46,'Analisi dati, formula corretta'!$CE$48,'Analisi dati, formula corretta'!$CE$51)</c:f>
              <c:numCache>
                <c:formatCode>0.00%</c:formatCode>
                <c:ptCount val="24"/>
                <c:pt idx="0">
                  <c:v>0.18142617449664433</c:v>
                </c:pt>
                <c:pt idx="1">
                  <c:v>-3.2407418134873689E-2</c:v>
                </c:pt>
                <c:pt idx="2">
                  <c:v>-6.3207278504728959E-2</c:v>
                </c:pt>
                <c:pt idx="3">
                  <c:v>-9.2752556459962943E-3</c:v>
                </c:pt>
                <c:pt idx="4">
                  <c:v>-0.35126068491448226</c:v>
                </c:pt>
                <c:pt idx="5">
                  <c:v>-2.7721394854391401E-2</c:v>
                </c:pt>
                <c:pt idx="6">
                  <c:v>-0.89018453837903244</c:v>
                </c:pt>
                <c:pt idx="7">
                  <c:v>0.1792756346320048</c:v>
                </c:pt>
                <c:pt idx="8">
                  <c:v>0.26128696588065381</c:v>
                </c:pt>
                <c:pt idx="9">
                  <c:v>-5.7096339731252499E-2</c:v>
                </c:pt>
                <c:pt idx="10">
                  <c:v>-0.23351731793335129</c:v>
                </c:pt>
                <c:pt idx="11">
                  <c:v>0.25660700700454653</c:v>
                </c:pt>
                <c:pt idx="12">
                  <c:v>-5.938804260988273E-2</c:v>
                </c:pt>
                <c:pt idx="13">
                  <c:v>0.84688445298038229</c:v>
                </c:pt>
                <c:pt idx="14">
                  <c:v>-0.13533167547339497</c:v>
                </c:pt>
                <c:pt idx="15">
                  <c:v>-0.56874298540965207</c:v>
                </c:pt>
                <c:pt idx="16">
                  <c:v>0.11391638685726679</c:v>
                </c:pt>
                <c:pt idx="17">
                  <c:v>0.1859994514904324</c:v>
                </c:pt>
                <c:pt idx="18">
                  <c:v>0.59055520225354829</c:v>
                </c:pt>
                <c:pt idx="19">
                  <c:v>-0.41728862061333039</c:v>
                </c:pt>
                <c:pt idx="20">
                  <c:v>-0.26911678291670349</c:v>
                </c:pt>
                <c:pt idx="21">
                  <c:v>-0.29066507772792616</c:v>
                </c:pt>
                <c:pt idx="22">
                  <c:v>-0.12384742433283003</c:v>
                </c:pt>
                <c:pt idx="23">
                  <c:v>6.8167009372287257E-2</c:v>
                </c:pt>
              </c:numCache>
            </c:numRef>
          </c:val>
          <c:extLst xmlns:c15="http://schemas.microsoft.com/office/drawing/2012/chart">
            <c:ext xmlns:c16="http://schemas.microsoft.com/office/drawing/2014/chart" uri="{C3380CC4-5D6E-409C-BE32-E72D297353CC}">
              <c16:uniqueId val="{00000000-B562-4B32-A2E4-58427CDBB6A1}"/>
            </c:ext>
          </c:extLst>
        </c:ser>
        <c:dLbls>
          <c:showLegendKey val="0"/>
          <c:showVal val="0"/>
          <c:showCatName val="0"/>
          <c:showSerName val="0"/>
          <c:showPercent val="0"/>
          <c:showBubbleSize val="0"/>
        </c:dLbls>
        <c:gapWidth val="219"/>
        <c:overlap val="-27"/>
        <c:axId val="55998191"/>
        <c:axId val="55996943"/>
        <c:extLst>
          <c:ext xmlns:c15="http://schemas.microsoft.com/office/drawing/2012/chart" uri="{02D57815-91ED-43cb-92C2-25804820EDAC}">
            <c15:filteredBarSeries>
              <c15:ser>
                <c:idx val="0"/>
                <c:order val="0"/>
                <c:tx>
                  <c:v>2017</c:v>
                </c:tx>
                <c:spPr>
                  <a:solidFill>
                    <a:schemeClr val="accent1"/>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numLit>
                </c:cat>
                <c:val>
                  <c:numRef>
                    <c:extLst>
                      <c:ext uri="{02D57815-91ED-43cb-92C2-25804820EDAC}">
                        <c15:formulaRef>
                          <c15:sqref>'Analisi dati, formula corretta'!$AZ$4:$AZ$30</c15:sqref>
                        </c15:formulaRef>
                      </c:ext>
                    </c:extLst>
                    <c:numCache>
                      <c:formatCode>#,##0.00</c:formatCode>
                      <c:ptCount val="27"/>
                      <c:pt idx="0">
                        <c:v>368.88</c:v>
                      </c:pt>
                      <c:pt idx="1">
                        <c:v>405.35909752359856</c:v>
                      </c:pt>
                      <c:pt idx="2">
                        <c:v>881.75829941203074</c:v>
                      </c:pt>
                      <c:pt idx="3">
                        <c:v>388.47824696097251</c:v>
                      </c:pt>
                      <c:pt idx="4">
                        <c:v>371</c:v>
                      </c:pt>
                      <c:pt idx="5">
                        <c:v>388.38532110091745</c:v>
                      </c:pt>
                      <c:pt idx="6">
                        <c:v>904.86689132266213</c:v>
                      </c:pt>
                      <c:pt idx="7">
                        <c:v>395.22230272631839</c:v>
                      </c:pt>
                      <c:pt idx="8">
                        <c:v>976.88275862068963</c:v>
                      </c:pt>
                      <c:pt idx="9">
                        <c:v>386.18599926009006</c:v>
                      </c:pt>
                      <c:pt idx="10">
                        <c:v>391.62999138401415</c:v>
                      </c:pt>
                      <c:pt idx="11">
                        <c:v>704.4110766089583</c:v>
                      </c:pt>
                      <c:pt idx="12">
                        <c:v>382.60635433494883</c:v>
                      </c:pt>
                      <c:pt idx="13">
                        <c:v>1014.2599631450249</c:v>
                      </c:pt>
                      <c:pt idx="14">
                        <c:v>985.69424964936889</c:v>
                      </c:pt>
                      <c:pt idx="15">
                        <c:v>395.39834153132517</c:v>
                      </c:pt>
                      <c:pt idx="16">
                        <c:v>387.4130624931002</c:v>
                      </c:pt>
                      <c:pt idx="17">
                        <c:v>364.17587834891265</c:v>
                      </c:pt>
                      <c:pt idx="18">
                        <c:v>281.57096027767068</c:v>
                      </c:pt>
                      <c:pt idx="19">
                        <c:v>407.69128245998718</c:v>
                      </c:pt>
                      <c:pt idx="20">
                        <c:v>388.47391789206461</c:v>
                      </c:pt>
                      <c:pt idx="21">
                        <c:v>248.44577280114868</c:v>
                      </c:pt>
                      <c:pt idx="22">
                        <c:v>245.27063673896387</c:v>
                      </c:pt>
                      <c:pt idx="23">
                        <c:v>267.09954756699329</c:v>
                      </c:pt>
                      <c:pt idx="24">
                        <c:v>324.73430023149348</c:v>
                      </c:pt>
                      <c:pt idx="25">
                        <c:v>398.48632709749376</c:v>
                      </c:pt>
                      <c:pt idx="26">
                        <c:v>482.20290754824356</c:v>
                      </c:pt>
                    </c:numCache>
                  </c:numRef>
                </c:val>
                <c:extLst>
                  <c:ext xmlns:c16="http://schemas.microsoft.com/office/drawing/2014/chart" uri="{C3380CC4-5D6E-409C-BE32-E72D297353CC}">
                    <c16:uniqueId val="{00000001-B562-4B32-A2E4-58427CDBB6A1}"/>
                  </c:ext>
                </c:extLst>
              </c15:ser>
            </c15:filteredBarSeries>
            <c15:filteredBarSeries>
              <c15:ser>
                <c:idx val="1"/>
                <c:order val="1"/>
                <c:tx>
                  <c:v>2018</c:v>
                </c:tx>
                <c:spPr>
                  <a:solidFill>
                    <a:schemeClr val="accent2"/>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numLit>
                </c:cat>
                <c:val>
                  <c:numRef>
                    <c:extLst xmlns:c15="http://schemas.microsoft.com/office/drawing/2012/chart">
                      <c:ext xmlns:c15="http://schemas.microsoft.com/office/drawing/2012/chart" uri="{02D57815-91ED-43cb-92C2-25804820EDAC}">
                        <c15:formulaRef>
                          <c15:sqref>'Analisi dati, formula corretta'!$BA$4:$BA$30</c15:sqref>
                        </c15:formulaRef>
                      </c:ext>
                    </c:extLst>
                    <c:numCache>
                      <c:formatCode>#,##0.00</c:formatCode>
                      <c:ptCount val="27"/>
                      <c:pt idx="0">
                        <c:v>419.89</c:v>
                      </c:pt>
                      <c:pt idx="1">
                        <c:v>409.58238022968067</c:v>
                      </c:pt>
                      <c:pt idx="2">
                        <c:v>926.72316513761473</c:v>
                      </c:pt>
                      <c:pt idx="3">
                        <c:v>381.0792815113038</c:v>
                      </c:pt>
                      <c:pt idx="4">
                        <c:v>371</c:v>
                      </c:pt>
                      <c:pt idx="5">
                        <c:v>406.27387996618768</c:v>
                      </c:pt>
                      <c:pt idx="6">
                        <c:v>911.67606915377621</c:v>
                      </c:pt>
                      <c:pt idx="7">
                        <c:v>388.20765449918542</c:v>
                      </c:pt>
                      <c:pt idx="8">
                        <c:v>986.56227461858532</c:v>
                      </c:pt>
                      <c:pt idx="9">
                        <c:v>386.67514957901295</c:v>
                      </c:pt>
                      <c:pt idx="10">
                        <c:v>387.01950587966007</c:v>
                      </c:pt>
                      <c:pt idx="11">
                        <c:v>723.44061520934213</c:v>
                      </c:pt>
                      <c:pt idx="12">
                        <c:v>387.13318284424378</c:v>
                      </c:pt>
                      <c:pt idx="13">
                        <c:v>1019.6104139153898</c:v>
                      </c:pt>
                      <c:pt idx="14">
                        <c:v>988.42664998436032</c:v>
                      </c:pt>
                      <c:pt idx="15">
                        <c:v>387.90872892767277</c:v>
                      </c:pt>
                      <c:pt idx="16">
                        <c:v>394.07139945256534</c:v>
                      </c:pt>
                      <c:pt idx="17">
                        <c:v>367.13450773789924</c:v>
                      </c:pt>
                      <c:pt idx="18">
                        <c:v>298.59904118544347</c:v>
                      </c:pt>
                      <c:pt idx="19">
                        <c:v>411.19435185307179</c:v>
                      </c:pt>
                      <c:pt idx="20">
                        <c:v>386.13351422450734</c:v>
                      </c:pt>
                      <c:pt idx="21">
                        <c:v>247.8819510806058</c:v>
                      </c:pt>
                      <c:pt idx="22">
                        <c:v>231.51000417853015</c:v>
                      </c:pt>
                      <c:pt idx="23">
                        <c:v>268.02066743883017</c:v>
                      </c:pt>
                      <c:pt idx="24">
                        <c:v>319.05597837364905</c:v>
                      </c:pt>
                      <c:pt idx="25">
                        <c:v>406.70106208846397</c:v>
                      </c:pt>
                      <c:pt idx="26">
                        <c:v>409.7043808619257</c:v>
                      </c:pt>
                    </c:numCache>
                  </c:numRef>
                </c:val>
                <c:extLst xmlns:c15="http://schemas.microsoft.com/office/drawing/2012/chart">
                  <c:ext xmlns:c16="http://schemas.microsoft.com/office/drawing/2014/chart" uri="{C3380CC4-5D6E-409C-BE32-E72D297353CC}">
                    <c16:uniqueId val="{00000002-B562-4B32-A2E4-58427CDBB6A1}"/>
                  </c:ext>
                </c:extLst>
              </c15:ser>
            </c15:filteredBarSeries>
            <c15:filteredBarSeries>
              <c15:ser>
                <c:idx val="2"/>
                <c:order val="2"/>
                <c:tx>
                  <c:v>2019</c:v>
                </c:tx>
                <c:spPr>
                  <a:solidFill>
                    <a:schemeClr val="accent3"/>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numLit>
                </c:cat>
                <c:val>
                  <c:numRef>
                    <c:extLst xmlns:c15="http://schemas.microsoft.com/office/drawing/2012/chart">
                      <c:ext xmlns:c15="http://schemas.microsoft.com/office/drawing/2012/chart" uri="{02D57815-91ED-43cb-92C2-25804820EDAC}">
                        <c15:formulaRef>
                          <c15:sqref>'Analisi dati, formula corretta'!$BB$4:$BB$30</c15:sqref>
                        </c15:formulaRef>
                      </c:ext>
                    </c:extLst>
                    <c:numCache>
                      <c:formatCode>#,##0.00</c:formatCode>
                      <c:ptCount val="27"/>
                      <c:pt idx="0">
                        <c:v>412.3</c:v>
                      </c:pt>
                      <c:pt idx="1">
                        <c:v>401.07605938585249</c:v>
                      </c:pt>
                      <c:pt idx="2">
                        <c:v>1028.8193651518611</c:v>
                      </c:pt>
                      <c:pt idx="3">
                        <c:v>379.55289765721329</c:v>
                      </c:pt>
                      <c:pt idx="4">
                        <c:v>386</c:v>
                      </c:pt>
                      <c:pt idx="5">
                        <c:v>386.94617563739376</c:v>
                      </c:pt>
                      <c:pt idx="6">
                        <c:v>882.47396630934145</c:v>
                      </c:pt>
                      <c:pt idx="7">
                        <c:v>394.73783455947142</c:v>
                      </c:pt>
                      <c:pt idx="8">
                        <c:v>1020.5023279875841</c:v>
                      </c:pt>
                      <c:pt idx="9">
                        <c:v>380.74424039983046</c:v>
                      </c:pt>
                      <c:pt idx="10">
                        <c:v>383.23726878930313</c:v>
                      </c:pt>
                      <c:pt idx="11">
                        <c:v>709.09307591467052</c:v>
                      </c:pt>
                      <c:pt idx="12">
                        <c:v>381.04020656584288</c:v>
                      </c:pt>
                      <c:pt idx="13">
                        <c:v>987.08187448670208</c:v>
                      </c:pt>
                      <c:pt idx="14">
                        <c:v>996.0972680876614</c:v>
                      </c:pt>
                      <c:pt idx="15">
                        <c:v>393.62834457951203</c:v>
                      </c:pt>
                      <c:pt idx="16">
                        <c:v>389.24523644308124</c:v>
                      </c:pt>
                      <c:pt idx="17">
                        <c:v>368.22433797550036</c:v>
                      </c:pt>
                      <c:pt idx="18">
                        <c:v>297.54750469826683</c:v>
                      </c:pt>
                      <c:pt idx="19">
                        <c:v>398.19853122774254</c:v>
                      </c:pt>
                      <c:pt idx="20">
                        <c:v>380.47284319130461</c:v>
                      </c:pt>
                      <c:pt idx="21">
                        <c:v>249.63268453557146</c:v>
                      </c:pt>
                      <c:pt idx="22">
                        <c:v>226.05266724053357</c:v>
                      </c:pt>
                      <c:pt idx="23">
                        <c:v>264.68753154045896</c:v>
                      </c:pt>
                      <c:pt idx="24">
                        <c:v>322.58963699208357</c:v>
                      </c:pt>
                      <c:pt idx="25">
                        <c:v>404.49073150664435</c:v>
                      </c:pt>
                      <c:pt idx="26">
                        <c:v>400.18382994743166</c:v>
                      </c:pt>
                    </c:numCache>
                  </c:numRef>
                </c:val>
                <c:extLst xmlns:c15="http://schemas.microsoft.com/office/drawing/2012/chart">
                  <c:ext xmlns:c16="http://schemas.microsoft.com/office/drawing/2014/chart" uri="{C3380CC4-5D6E-409C-BE32-E72D297353CC}">
                    <c16:uniqueId val="{00000003-B562-4B32-A2E4-58427CDBB6A1}"/>
                  </c:ext>
                </c:extLst>
              </c15:ser>
            </c15:filteredBarSeries>
            <c15:filteredBarSeries>
              <c15:ser>
                <c:idx val="4"/>
                <c:order val="4"/>
                <c:spPr>
                  <a:solidFill>
                    <a:schemeClr val="accent5"/>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numLit>
                </c:cat>
                <c:val>
                  <c:numRef>
                    <c:extLst xmlns:c15="http://schemas.microsoft.com/office/drawing/2012/chart">
                      <c:ext xmlns:c15="http://schemas.microsoft.com/office/drawing/2012/chart" uri="{02D57815-91ED-43cb-92C2-25804820EDAC}">
                        <c15:formulaRef>
                          <c15:sqref>'Analisi dati, formula corretta'!$BA$3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4-B562-4B32-A2E4-58427CDBB6A1}"/>
                  </c:ext>
                </c:extLst>
              </c15:ser>
            </c15:filteredBarSeries>
            <c15:filteredBarSeries>
              <c15:ser>
                <c:idx val="5"/>
                <c:order val="5"/>
                <c:spPr>
                  <a:solidFill>
                    <a:schemeClr val="accent6"/>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numLit>
                </c:cat>
                <c:val>
                  <c:numRef>
                    <c:extLst xmlns:c15="http://schemas.microsoft.com/office/drawing/2012/chart">
                      <c:ext xmlns:c15="http://schemas.microsoft.com/office/drawing/2012/chart" uri="{02D57815-91ED-43cb-92C2-25804820EDAC}">
                        <c15:formulaRef>
                          <c15:sqref>'Analisi dati, formula corretta'!$BB$3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5-B562-4B32-A2E4-58427CDBB6A1}"/>
                  </c:ext>
                </c:extLst>
              </c15:ser>
            </c15:filteredBarSeries>
          </c:ext>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delle centrali di cogenerazione (NOx)</a:t>
            </a:r>
            <a:endParaRPr lang="it-IT"/>
          </a:p>
        </c:rich>
      </c:tx>
      <c:layout>
        <c:manualLayout>
          <c:xMode val="edge"/>
          <c:yMode val="edge"/>
          <c:x val="0.30953533955955265"/>
          <c:y val="1.085776484788656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1"/>
          <c:order val="0"/>
          <c:tx>
            <c:v>2011</c:v>
          </c:tx>
          <c:spPr>
            <a:solidFill>
              <a:schemeClr val="accent2"/>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corretta'!$BS$4:$BS$52</c15:sqref>
                  </c15:fullRef>
                </c:ext>
              </c:extLst>
              <c:f>('Analisi dati, formula corretta'!$BS$5,'Analisi dati, formula corretta'!$BS$8,'Analisi dati, formula corretta'!$BS$22,'Analisi dati, formula corretta'!$BS$25:$BS$28,'Analisi dati, formula corretta'!$BS$31,'Analisi dati, formula corretta'!$BS$33,'Analisi dati, formula corretta'!$BS$35,'Analisi dati, formula corretta'!$BS$37,'Analisi dati, formula corretta'!$BS$40,'Analisi dati, formula corretta'!$BS$43:$BS$44,'Analisi dati, formula corretta'!$BS$47,'Analisi dati, formula corretta'!$BS$49:$BS$50,'Analisi dati, formula corretta'!$BS$52)</c:f>
              <c:numCache>
                <c:formatCode>#,##0.000</c:formatCode>
                <c:ptCount val="18"/>
                <c:pt idx="0">
                  <c:v>0.112</c:v>
                </c:pt>
                <c:pt idx="1">
                  <c:v>0.25383542538354253</c:v>
                </c:pt>
                <c:pt idx="2">
                  <c:v>9.1577284443335835E-2</c:v>
                </c:pt>
                <c:pt idx="3">
                  <c:v>0.21301876210869788</c:v>
                </c:pt>
                <c:pt idx="4">
                  <c:v>0.17474500484187977</c:v>
                </c:pt>
                <c:pt idx="5">
                  <c:v>0.11266795150771367</c:v>
                </c:pt>
                <c:pt idx="6">
                  <c:v>0</c:v>
                </c:pt>
                <c:pt idx="7">
                  <c:v>7.3039220645213496E-2</c:v>
                </c:pt>
                <c:pt idx="8">
                  <c:v>0.14121795992227101</c:v>
                </c:pt>
                <c:pt idx="9">
                  <c:v>0.10619951324638649</c:v>
                </c:pt>
                <c:pt idx="10">
                  <c:v>0.11991184686709958</c:v>
                </c:pt>
                <c:pt idx="11">
                  <c:v>0</c:v>
                </c:pt>
                <c:pt idx="12">
                  <c:v>0</c:v>
                </c:pt>
                <c:pt idx="13">
                  <c:v>0.10393459928016595</c:v>
                </c:pt>
                <c:pt idx="14">
                  <c:v>0.1545541563935787</c:v>
                </c:pt>
                <c:pt idx="15">
                  <c:v>0.20972515249886622</c:v>
                </c:pt>
                <c:pt idx="16">
                  <c:v>0</c:v>
                </c:pt>
                <c:pt idx="17">
                  <c:v>0</c:v>
                </c:pt>
              </c:numCache>
            </c:numRef>
          </c:val>
          <c:extLst>
            <c:ext xmlns:c16="http://schemas.microsoft.com/office/drawing/2014/chart" uri="{C3380CC4-5D6E-409C-BE32-E72D297353CC}">
              <c16:uniqueId val="{00000001-56FE-4258-A0E3-466CDB238342}"/>
            </c:ext>
          </c:extLst>
        </c:ser>
        <c:ser>
          <c:idx val="0"/>
          <c:order val="1"/>
          <c:tx>
            <c:v>2012</c:v>
          </c:tx>
          <c:spPr>
            <a:solidFill>
              <a:schemeClr val="accent1"/>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corretta'!$BT$4:$BT$52</c15:sqref>
                  </c15:fullRef>
                </c:ext>
              </c:extLst>
              <c:f>('Analisi dati, formula corretta'!$BT$5,'Analisi dati, formula corretta'!$BT$8,'Analisi dati, formula corretta'!$BT$22,'Analisi dati, formula corretta'!$BT$25:$BT$28,'Analisi dati, formula corretta'!$BT$31,'Analisi dati, formula corretta'!$BT$33,'Analisi dati, formula corretta'!$BT$35,'Analisi dati, formula corretta'!$BT$37,'Analisi dati, formula corretta'!$BT$40,'Analisi dati, formula corretta'!$BT$43:$BT$44,'Analisi dati, formula corretta'!$BT$47,'Analisi dati, formula corretta'!$BT$49:$BT$50,'Analisi dati, formula corretta'!$BT$52)</c:f>
              <c:numCache>
                <c:formatCode>#,##0.000</c:formatCode>
                <c:ptCount val="18"/>
                <c:pt idx="0">
                  <c:v>0.11724137931034483</c:v>
                </c:pt>
                <c:pt idx="1">
                  <c:v>0.25722145804676755</c:v>
                </c:pt>
                <c:pt idx="2">
                  <c:v>9.2775103294037362E-2</c:v>
                </c:pt>
                <c:pt idx="3">
                  <c:v>0.19306871748337118</c:v>
                </c:pt>
                <c:pt idx="4">
                  <c:v>0.18076449775234846</c:v>
                </c:pt>
                <c:pt idx="5">
                  <c:v>0.11091629303584716</c:v>
                </c:pt>
                <c:pt idx="6">
                  <c:v>0</c:v>
                </c:pt>
                <c:pt idx="7">
                  <c:v>7.2758802684158949E-2</c:v>
                </c:pt>
                <c:pt idx="8">
                  <c:v>0.15770351113477621</c:v>
                </c:pt>
                <c:pt idx="9">
                  <c:v>9.9015047130642686E-2</c:v>
                </c:pt>
                <c:pt idx="10">
                  <c:v>0.11956164972723361</c:v>
                </c:pt>
                <c:pt idx="11">
                  <c:v>0</c:v>
                </c:pt>
                <c:pt idx="12">
                  <c:v>2.9166666666666664E-2</c:v>
                </c:pt>
                <c:pt idx="13">
                  <c:v>8.4390581412174856E-2</c:v>
                </c:pt>
                <c:pt idx="14">
                  <c:v>0.14955141491406718</c:v>
                </c:pt>
                <c:pt idx="15">
                  <c:v>0.20372804764426275</c:v>
                </c:pt>
                <c:pt idx="16">
                  <c:v>0</c:v>
                </c:pt>
                <c:pt idx="17">
                  <c:v>0.13204446727824834</c:v>
                </c:pt>
              </c:numCache>
            </c:numRef>
          </c:val>
          <c:extLst>
            <c:ext xmlns:c16="http://schemas.microsoft.com/office/drawing/2014/chart" uri="{C3380CC4-5D6E-409C-BE32-E72D297353CC}">
              <c16:uniqueId val="{00000002-56FE-4258-A0E3-466CDB238342}"/>
            </c:ext>
          </c:extLst>
        </c:ser>
        <c:ser>
          <c:idx val="2"/>
          <c:order val="2"/>
          <c:tx>
            <c:v>2013</c:v>
          </c:tx>
          <c:spPr>
            <a:solidFill>
              <a:schemeClr val="accent3"/>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corretta'!$BU$4:$BU$52</c15:sqref>
                  </c15:fullRef>
                </c:ext>
              </c:extLst>
              <c:f>('Analisi dati, formula corretta'!$BU$5,'Analisi dati, formula corretta'!$BU$8,'Analisi dati, formula corretta'!$BU$22,'Analisi dati, formula corretta'!$BU$25:$BU$28,'Analisi dati, formula corretta'!$BU$31,'Analisi dati, formula corretta'!$BU$33,'Analisi dati, formula corretta'!$BU$35,'Analisi dati, formula corretta'!$BU$37,'Analisi dati, formula corretta'!$BU$40,'Analisi dati, formula corretta'!$BU$43:$BU$44,'Analisi dati, formula corretta'!$BU$47,'Analisi dati, formula corretta'!$BU$49:$BU$50,'Analisi dati, formula corretta'!$BU$52)</c:f>
              <c:numCache>
                <c:formatCode>#,##0.000</c:formatCode>
                <c:ptCount val="18"/>
                <c:pt idx="0">
                  <c:v>0.13381995133819952</c:v>
                </c:pt>
                <c:pt idx="1">
                  <c:v>0.23324022346368714</c:v>
                </c:pt>
                <c:pt idx="2">
                  <c:v>9.9290658035191631E-2</c:v>
                </c:pt>
                <c:pt idx="3">
                  <c:v>0.1922510015694697</c:v>
                </c:pt>
                <c:pt idx="4">
                  <c:v>0.15213625494164304</c:v>
                </c:pt>
                <c:pt idx="5">
                  <c:v>0.12109112174183918</c:v>
                </c:pt>
                <c:pt idx="6">
                  <c:v>4.5883063194065835E-2</c:v>
                </c:pt>
                <c:pt idx="7">
                  <c:v>7.507101718225441E-2</c:v>
                </c:pt>
                <c:pt idx="8">
                  <c:v>0.15175634086808873</c:v>
                </c:pt>
                <c:pt idx="9">
                  <c:v>0.11690331208296353</c:v>
                </c:pt>
                <c:pt idx="10">
                  <c:v>0.12136561871713346</c:v>
                </c:pt>
                <c:pt idx="11">
                  <c:v>0</c:v>
                </c:pt>
                <c:pt idx="12">
                  <c:v>3.1110173068805404E-2</c:v>
                </c:pt>
                <c:pt idx="13">
                  <c:v>7.9528723253734793E-2</c:v>
                </c:pt>
                <c:pt idx="14">
                  <c:v>0.14703525756358846</c:v>
                </c:pt>
                <c:pt idx="15">
                  <c:v>0.16649627048354118</c:v>
                </c:pt>
                <c:pt idx="16">
                  <c:v>0.10775081492212966</c:v>
                </c:pt>
                <c:pt idx="17">
                  <c:v>0.13101932366793309</c:v>
                </c:pt>
              </c:numCache>
            </c:numRef>
          </c:val>
          <c:extLst>
            <c:ext xmlns:c16="http://schemas.microsoft.com/office/drawing/2014/chart" uri="{C3380CC4-5D6E-409C-BE32-E72D297353CC}">
              <c16:uniqueId val="{00000003-56FE-4258-A0E3-466CDB238342}"/>
            </c:ext>
          </c:extLst>
        </c:ser>
        <c:ser>
          <c:idx val="3"/>
          <c:order val="3"/>
          <c:tx>
            <c:v>2014</c:v>
          </c:tx>
          <c:spPr>
            <a:solidFill>
              <a:schemeClr val="accent4"/>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corretta'!$BV$4:$BV$52</c15:sqref>
                  </c15:fullRef>
                </c:ext>
              </c:extLst>
              <c:f>('Analisi dati, formula corretta'!$BV$5,'Analisi dati, formula corretta'!$BV$8,'Analisi dati, formula corretta'!$BV$22,'Analisi dati, formula corretta'!$BV$25:$BV$28,'Analisi dati, formula corretta'!$BV$31,'Analisi dati, formula corretta'!$BV$33,'Analisi dati, formula corretta'!$BV$35,'Analisi dati, formula corretta'!$BV$37,'Analisi dati, formula corretta'!$BV$40,'Analisi dati, formula corretta'!$BV$43:$BV$44,'Analisi dati, formula corretta'!$BV$47,'Analisi dati, formula corretta'!$BV$49:$BV$50,'Analisi dati, formula corretta'!$BV$52)</c:f>
              <c:numCache>
                <c:formatCode>#,##0.000</c:formatCode>
                <c:ptCount val="18"/>
                <c:pt idx="0">
                  <c:v>0.1504297994269341</c:v>
                </c:pt>
                <c:pt idx="1">
                  <c:v>0.24714828897338403</c:v>
                </c:pt>
                <c:pt idx="2">
                  <c:v>7.6758460127460418E-2</c:v>
                </c:pt>
                <c:pt idx="3">
                  <c:v>0.1867567971317598</c:v>
                </c:pt>
                <c:pt idx="4">
                  <c:v>0.17652298791452592</c:v>
                </c:pt>
                <c:pt idx="5">
                  <c:v>0.12258654513307544</c:v>
                </c:pt>
                <c:pt idx="6">
                  <c:v>0</c:v>
                </c:pt>
                <c:pt idx="7">
                  <c:v>7.1959952721963427E-2</c:v>
                </c:pt>
                <c:pt idx="8">
                  <c:v>0.17617608161723031</c:v>
                </c:pt>
                <c:pt idx="9">
                  <c:v>0.10542972942957816</c:v>
                </c:pt>
                <c:pt idx="10">
                  <c:v>6.4481969115861376E-2</c:v>
                </c:pt>
                <c:pt idx="11">
                  <c:v>0</c:v>
                </c:pt>
                <c:pt idx="12">
                  <c:v>4.09606404269513E-2</c:v>
                </c:pt>
                <c:pt idx="13">
                  <c:v>8.7678631621030526E-2</c:v>
                </c:pt>
                <c:pt idx="14">
                  <c:v>0.14356470678878383</c:v>
                </c:pt>
                <c:pt idx="15">
                  <c:v>0.17470883324349143</c:v>
                </c:pt>
                <c:pt idx="16">
                  <c:v>0.15484239420791804</c:v>
                </c:pt>
                <c:pt idx="17">
                  <c:v>0.1012895754720697</c:v>
                </c:pt>
              </c:numCache>
            </c:numRef>
          </c:val>
          <c:extLst>
            <c:ext xmlns:c16="http://schemas.microsoft.com/office/drawing/2014/chart" uri="{C3380CC4-5D6E-409C-BE32-E72D297353CC}">
              <c16:uniqueId val="{00000004-56FE-4258-A0E3-466CDB238342}"/>
            </c:ext>
          </c:extLst>
        </c:ser>
        <c:ser>
          <c:idx val="4"/>
          <c:order val="4"/>
          <c:tx>
            <c:v>2015</c:v>
          </c:tx>
          <c:spPr>
            <a:solidFill>
              <a:schemeClr val="accent5"/>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corretta'!$BW$4:$BW$52</c15:sqref>
                  </c15:fullRef>
                </c:ext>
              </c:extLst>
              <c:f>('Analisi dati, formula corretta'!$BW$5,'Analisi dati, formula corretta'!$BW$8,'Analisi dati, formula corretta'!$BW$22,'Analisi dati, formula corretta'!$BW$25:$BW$28,'Analisi dati, formula corretta'!$BW$31,'Analisi dati, formula corretta'!$BW$33,'Analisi dati, formula corretta'!$BW$35,'Analisi dati, formula corretta'!$BW$37,'Analisi dati, formula corretta'!$BW$40,'Analisi dati, formula corretta'!$BW$43:$BW$44,'Analisi dati, formula corretta'!$BW$47,'Analisi dati, formula corretta'!$BW$49:$BW$50,'Analisi dati, formula corretta'!$BW$52)</c:f>
              <c:numCache>
                <c:formatCode>#,##0.000</c:formatCode>
                <c:ptCount val="18"/>
                <c:pt idx="0">
                  <c:v>0.14355628058727568</c:v>
                </c:pt>
                <c:pt idx="1">
                  <c:v>0.23076923076923078</c:v>
                </c:pt>
                <c:pt idx="2">
                  <c:v>5.3572482152339368E-2</c:v>
                </c:pt>
                <c:pt idx="3">
                  <c:v>0.18212558883378241</c:v>
                </c:pt>
                <c:pt idx="4">
                  <c:v>0.18716810403097756</c:v>
                </c:pt>
                <c:pt idx="5">
                  <c:v>0.14625855462196516</c:v>
                </c:pt>
                <c:pt idx="6">
                  <c:v>0</c:v>
                </c:pt>
                <c:pt idx="7">
                  <c:v>7.5011810370143386E-2</c:v>
                </c:pt>
                <c:pt idx="8">
                  <c:v>0.17886444845442512</c:v>
                </c:pt>
                <c:pt idx="9">
                  <c:v>9.8473181300263321E-2</c:v>
                </c:pt>
                <c:pt idx="10">
                  <c:v>7.8691573742052601E-2</c:v>
                </c:pt>
                <c:pt idx="11">
                  <c:v>0.46589997734111338</c:v>
                </c:pt>
                <c:pt idx="12">
                  <c:v>3.5286972365624052E-2</c:v>
                </c:pt>
                <c:pt idx="13">
                  <c:v>9.384400640950899E-2</c:v>
                </c:pt>
                <c:pt idx="14">
                  <c:v>0.133475624364124</c:v>
                </c:pt>
                <c:pt idx="15">
                  <c:v>0.16642533426105272</c:v>
                </c:pt>
                <c:pt idx="16">
                  <c:v>0.16388311310841325</c:v>
                </c:pt>
                <c:pt idx="17">
                  <c:v>9.384400640950899E-2</c:v>
                </c:pt>
              </c:numCache>
            </c:numRef>
          </c:val>
          <c:extLst>
            <c:ext xmlns:c16="http://schemas.microsoft.com/office/drawing/2014/chart" uri="{C3380CC4-5D6E-409C-BE32-E72D297353CC}">
              <c16:uniqueId val="{00000005-56FE-4258-A0E3-466CDB238342}"/>
            </c:ext>
          </c:extLst>
        </c:ser>
        <c:ser>
          <c:idx val="5"/>
          <c:order val="5"/>
          <c:tx>
            <c:v>2016</c:v>
          </c:tx>
          <c:spPr>
            <a:solidFill>
              <a:schemeClr val="accent6"/>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corretta'!$BX$4:$BX$52</c15:sqref>
                  </c15:fullRef>
                </c:ext>
              </c:extLst>
              <c:f>('Analisi dati, formula corretta'!$BX$5,'Analisi dati, formula corretta'!$BX$8,'Analisi dati, formula corretta'!$BX$22,'Analisi dati, formula corretta'!$BX$25:$BX$28,'Analisi dati, formula corretta'!$BX$31,'Analisi dati, formula corretta'!$BX$33,'Analisi dati, formula corretta'!$BX$35,'Analisi dati, formula corretta'!$BX$37,'Analisi dati, formula corretta'!$BX$40,'Analisi dati, formula corretta'!$BX$43:$BX$44,'Analisi dati, formula corretta'!$BX$47,'Analisi dati, formula corretta'!$BX$49:$BX$50,'Analisi dati, formula corretta'!$BX$52)</c:f>
              <c:numCache>
                <c:formatCode>#,##0.000</c:formatCode>
                <c:ptCount val="18"/>
                <c:pt idx="0">
                  <c:v>0.12882653061224489</c:v>
                </c:pt>
                <c:pt idx="1">
                  <c:v>0.27685774946921443</c:v>
                </c:pt>
                <c:pt idx="2">
                  <c:v>5.2355514732542116E-2</c:v>
                </c:pt>
                <c:pt idx="3">
                  <c:v>0.17887701265684372</c:v>
                </c:pt>
                <c:pt idx="4">
                  <c:v>0.20763416481937935</c:v>
                </c:pt>
                <c:pt idx="5">
                  <c:v>0.13199361629480438</c:v>
                </c:pt>
                <c:pt idx="6">
                  <c:v>2.860032747792467E-2</c:v>
                </c:pt>
                <c:pt idx="7">
                  <c:v>7.8432381001362919E-2</c:v>
                </c:pt>
                <c:pt idx="8">
                  <c:v>0.13599020787519189</c:v>
                </c:pt>
                <c:pt idx="9">
                  <c:v>0.10074790287441253</c:v>
                </c:pt>
                <c:pt idx="10">
                  <c:v>7.185718540611806E-2</c:v>
                </c:pt>
                <c:pt idx="11">
                  <c:v>0.29877751348065978</c:v>
                </c:pt>
                <c:pt idx="12">
                  <c:v>3.4711265383401704E-2</c:v>
                </c:pt>
                <c:pt idx="13">
                  <c:v>9.914116611184616E-2</c:v>
                </c:pt>
                <c:pt idx="14">
                  <c:v>0.13314296492042857</c:v>
                </c:pt>
                <c:pt idx="15">
                  <c:v>0.13671329096234006</c:v>
                </c:pt>
                <c:pt idx="16">
                  <c:v>0.12652147099873415</c:v>
                </c:pt>
                <c:pt idx="17">
                  <c:v>9.914116611184616E-2</c:v>
                </c:pt>
              </c:numCache>
            </c:numRef>
          </c:val>
          <c:extLst>
            <c:ext xmlns:c16="http://schemas.microsoft.com/office/drawing/2014/chart" uri="{C3380CC4-5D6E-409C-BE32-E72D297353CC}">
              <c16:uniqueId val="{00000006-56FE-4258-A0E3-466CDB238342}"/>
            </c:ext>
          </c:extLst>
        </c:ser>
        <c:ser>
          <c:idx val="6"/>
          <c:order val="6"/>
          <c:tx>
            <c:v>2017</c:v>
          </c:tx>
          <c:spPr>
            <a:solidFill>
              <a:schemeClr val="accent1">
                <a:lumMod val="60000"/>
              </a:schemeClr>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corretta'!$BY$4:$BY$52</c15:sqref>
                  </c15:fullRef>
                </c:ext>
              </c:extLst>
              <c:f>('Analisi dati, formula corretta'!$BY$5,'Analisi dati, formula corretta'!$BY$8,'Analisi dati, formula corretta'!$BY$22,'Analisi dati, formula corretta'!$BY$25:$BY$28,'Analisi dati, formula corretta'!$BY$31,'Analisi dati, formula corretta'!$BY$33,'Analisi dati, formula corretta'!$BY$35,'Analisi dati, formula corretta'!$BY$37,'Analisi dati, formula corretta'!$BY$40,'Analisi dati, formula corretta'!$BY$43:$BY$44,'Analisi dati, formula corretta'!$BY$47,'Analisi dati, formula corretta'!$BY$49:$BY$50,'Analisi dati, formula corretta'!$BY$52)</c:f>
              <c:numCache>
                <c:formatCode>#,##0.000</c:formatCode>
                <c:ptCount val="18"/>
                <c:pt idx="0">
                  <c:v>0.11203688202645101</c:v>
                </c:pt>
                <c:pt idx="1">
                  <c:v>0.24</c:v>
                </c:pt>
                <c:pt idx="2">
                  <c:v>5.1099112996529118E-2</c:v>
                </c:pt>
                <c:pt idx="3">
                  <c:v>0.11201528551913931</c:v>
                </c:pt>
                <c:pt idx="4">
                  <c:v>0.14283149936401382</c:v>
                </c:pt>
                <c:pt idx="5">
                  <c:v>7.7934969420779099E-2</c:v>
                </c:pt>
                <c:pt idx="6">
                  <c:v>0</c:v>
                </c:pt>
                <c:pt idx="7">
                  <c:v>6.9951675051152157E-2</c:v>
                </c:pt>
                <c:pt idx="8">
                  <c:v>0.18866719872306467</c:v>
                </c:pt>
                <c:pt idx="9">
                  <c:v>8.8471830158888945E-2</c:v>
                </c:pt>
                <c:pt idx="10">
                  <c:v>0.10758434347977149</c:v>
                </c:pt>
                <c:pt idx="11">
                  <c:v>0.35197430394059542</c:v>
                </c:pt>
                <c:pt idx="12">
                  <c:v>3.2432432432432434E-2</c:v>
                </c:pt>
                <c:pt idx="13">
                  <c:v>0.10668385994719166</c:v>
                </c:pt>
                <c:pt idx="14">
                  <c:v>0.1339127147953327</c:v>
                </c:pt>
                <c:pt idx="15">
                  <c:v>0.12057058255095436</c:v>
                </c:pt>
                <c:pt idx="16">
                  <c:v>0.15297073603310671</c:v>
                </c:pt>
                <c:pt idx="17">
                  <c:v>9.8492300032380603E-2</c:v>
                </c:pt>
              </c:numCache>
            </c:numRef>
          </c:val>
          <c:extLst>
            <c:ext xmlns:c16="http://schemas.microsoft.com/office/drawing/2014/chart" uri="{C3380CC4-5D6E-409C-BE32-E72D297353CC}">
              <c16:uniqueId val="{00000007-56FE-4258-A0E3-466CDB238342}"/>
            </c:ext>
          </c:extLst>
        </c:ser>
        <c:ser>
          <c:idx val="7"/>
          <c:order val="7"/>
          <c:tx>
            <c:v>2018</c:v>
          </c:tx>
          <c:spPr>
            <a:solidFill>
              <a:schemeClr val="accent2">
                <a:lumMod val="60000"/>
              </a:schemeClr>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corretta'!$BZ$4:$BZ$52</c15:sqref>
                  </c15:fullRef>
                </c:ext>
              </c:extLst>
              <c:f>('Analisi dati, formula corretta'!$BZ$5,'Analisi dati, formula corretta'!$BZ$8,'Analisi dati, formula corretta'!$BZ$22,'Analisi dati, formula corretta'!$BZ$25:$BZ$28,'Analisi dati, formula corretta'!$BZ$31,'Analisi dati, formula corretta'!$BZ$33,'Analisi dati, formula corretta'!$BZ$35,'Analisi dati, formula corretta'!$BZ$37,'Analisi dati, formula corretta'!$BZ$40,'Analisi dati, formula corretta'!$BZ$43:$BZ$44,'Analisi dati, formula corretta'!$BZ$47,'Analisi dati, formula corretta'!$BZ$49:$BZ$50,'Analisi dati, formula corretta'!$BZ$52)</c:f>
              <c:numCache>
                <c:formatCode>#,##0.000</c:formatCode>
                <c:ptCount val="18"/>
                <c:pt idx="0">
                  <c:v>0.11320267731878704</c:v>
                </c:pt>
                <c:pt idx="1">
                  <c:v>0.18</c:v>
                </c:pt>
                <c:pt idx="2">
                  <c:v>6.6463281760732185E-2</c:v>
                </c:pt>
                <c:pt idx="3">
                  <c:v>0.11596454119949873</c:v>
                </c:pt>
                <c:pt idx="4">
                  <c:v>0.20601125287881292</c:v>
                </c:pt>
                <c:pt idx="5">
                  <c:v>0.11310988851889388</c:v>
                </c:pt>
                <c:pt idx="6">
                  <c:v>0</c:v>
                </c:pt>
                <c:pt idx="7">
                  <c:v>7.0254085609621472E-2</c:v>
                </c:pt>
                <c:pt idx="8">
                  <c:v>0.12132685324395738</c:v>
                </c:pt>
                <c:pt idx="9">
                  <c:v>0.10020672237465701</c:v>
                </c:pt>
                <c:pt idx="10">
                  <c:v>6.6531087099981831E-2</c:v>
                </c:pt>
                <c:pt idx="11">
                  <c:v>0.35339298561151072</c:v>
                </c:pt>
                <c:pt idx="12">
                  <c:v>3.2007759456838022E-2</c:v>
                </c:pt>
                <c:pt idx="13">
                  <c:v>0.12457472245783736</c:v>
                </c:pt>
                <c:pt idx="14">
                  <c:v>0.13444772478412131</c:v>
                </c:pt>
                <c:pt idx="15">
                  <c:v>0.10544261086537371</c:v>
                </c:pt>
                <c:pt idx="16">
                  <c:v>0.13850043545150759</c:v>
                </c:pt>
                <c:pt idx="17">
                  <c:v>9.9756159338979203E-2</c:v>
                </c:pt>
              </c:numCache>
            </c:numRef>
          </c:val>
          <c:extLst>
            <c:ext xmlns:c16="http://schemas.microsoft.com/office/drawing/2014/chart" uri="{C3380CC4-5D6E-409C-BE32-E72D297353CC}">
              <c16:uniqueId val="{00000008-56FE-4258-A0E3-466CDB238342}"/>
            </c:ext>
          </c:extLst>
        </c:ser>
        <c:ser>
          <c:idx val="8"/>
          <c:order val="8"/>
          <c:tx>
            <c:v>2019</c:v>
          </c:tx>
          <c:spPr>
            <a:solidFill>
              <a:schemeClr val="accent3">
                <a:lumMod val="60000"/>
              </a:schemeClr>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corretta'!$CA$4:$CA$52</c15:sqref>
                  </c15:fullRef>
                </c:ext>
              </c:extLst>
              <c:f>('Analisi dati, formula corretta'!$CA$5,'Analisi dati, formula corretta'!$CA$8,'Analisi dati, formula corretta'!$CA$22,'Analisi dati, formula corretta'!$CA$25:$CA$28,'Analisi dati, formula corretta'!$CA$31,'Analisi dati, formula corretta'!$CA$33,'Analisi dati, formula corretta'!$CA$35,'Analisi dati, formula corretta'!$CA$37,'Analisi dati, formula corretta'!$CA$40,'Analisi dati, formula corretta'!$CA$43:$CA$44,'Analisi dati, formula corretta'!$CA$47,'Analisi dati, formula corretta'!$CA$49:$CA$50,'Analisi dati, formula corretta'!$CA$52)</c:f>
              <c:numCache>
                <c:formatCode>#,##0.000</c:formatCode>
                <c:ptCount val="18"/>
                <c:pt idx="0">
                  <c:v>0.12822876618888171</c:v>
                </c:pt>
                <c:pt idx="1">
                  <c:v>0.11</c:v>
                </c:pt>
                <c:pt idx="2">
                  <c:v>6.577573606180831E-2</c:v>
                </c:pt>
                <c:pt idx="3">
                  <c:v>0.10830539165398678</c:v>
                </c:pt>
                <c:pt idx="4">
                  <c:v>0.24430697935415158</c:v>
                </c:pt>
                <c:pt idx="5">
                  <c:v>0.10551717177278025</c:v>
                </c:pt>
                <c:pt idx="6">
                  <c:v>6.0201334798744836E-2</c:v>
                </c:pt>
                <c:pt idx="7">
                  <c:v>6.1906727197688811E-2</c:v>
                </c:pt>
                <c:pt idx="8">
                  <c:v>6.4684651670167931E-2</c:v>
                </c:pt>
                <c:pt idx="9">
                  <c:v>0.10154264560446903</c:v>
                </c:pt>
                <c:pt idx="10">
                  <c:v>4.2726400072919724E-2</c:v>
                </c:pt>
                <c:pt idx="11">
                  <c:v>0.51149114746750335</c:v>
                </c:pt>
                <c:pt idx="12">
                  <c:v>3.2553407934893183E-2</c:v>
                </c:pt>
                <c:pt idx="13">
                  <c:v>0.12348490490683622</c:v>
                </c:pt>
                <c:pt idx="14">
                  <c:v>0.13461287495080465</c:v>
                </c:pt>
                <c:pt idx="15">
                  <c:v>0.11433369360356578</c:v>
                </c:pt>
                <c:pt idx="16">
                  <c:v>0.13161072615512306</c:v>
                </c:pt>
                <c:pt idx="17">
                  <c:v>8.0648378635903531E-2</c:v>
                </c:pt>
              </c:numCache>
            </c:numRef>
          </c:val>
          <c:extLst>
            <c:ext xmlns:c16="http://schemas.microsoft.com/office/drawing/2014/chart" uri="{C3380CC4-5D6E-409C-BE32-E72D297353CC}">
              <c16:uniqueId val="{00000009-56FE-4258-A0E3-466CDB238342}"/>
            </c:ext>
          </c:extLst>
        </c:ser>
        <c:dLbls>
          <c:showLegendKey val="0"/>
          <c:showVal val="0"/>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specifiche delle centrali di cogenerazione in % di variazione (NOx)</a:t>
            </a:r>
            <a:endParaRPr lang="it-IT"/>
          </a:p>
        </c:rich>
      </c:tx>
      <c:layout>
        <c:manualLayout>
          <c:xMode val="edge"/>
          <c:yMode val="edge"/>
          <c:x val="0.23762250662977055"/>
          <c:y val="1.058201205155078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3"/>
          <c:order val="3"/>
          <c:tx>
            <c:v>Variazioni</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numLit>
          </c:cat>
          <c:val>
            <c:numRef>
              <c:f>('Analisi dati, formula corretta'!$CE$5,'Analisi dati, formula corretta'!$CE$8,'Analisi dati, formula corretta'!$CE$22,'Analisi dati, formula corretta'!$CE$25,'Analisi dati, formula corretta'!$CE$26,'Analisi dati, formula corretta'!$CE$27,'Analisi dati, formula corretta'!$CE$28,'Analisi dati, formula corretta'!$CE$31,'Analisi dati, formula corretta'!$CE$33,'Analisi dati, formula corretta'!$CE$35,'Analisi dati, formula corretta'!$CE$37,'Analisi dati, formula corretta'!$CE$40,'Analisi dati, formula corretta'!$CE$43,'Analisi dati, formula corretta'!$CE$44,'Analisi dati, formula corretta'!$CE$47,'Analisi dati, formula corretta'!$CE$49,'Analisi dati, formula corretta'!$CE$50,'Analisi dati, formula corretta'!$CE$52)</c:f>
              <c:numCache>
                <c:formatCode>0.00%</c:formatCode>
                <c:ptCount val="18"/>
                <c:pt idx="0">
                  <c:v>0.14489969811501524</c:v>
                </c:pt>
                <c:pt idx="1">
                  <c:v>-0.56664835164835159</c:v>
                </c:pt>
                <c:pt idx="2">
                  <c:v>-0.2817461615985396</c:v>
                </c:pt>
                <c:pt idx="3">
                  <c:v>-0.49156876801902838</c:v>
                </c:pt>
                <c:pt idx="4">
                  <c:v>0.398077041316379</c:v>
                </c:pt>
                <c:pt idx="5">
                  <c:v>-6.3467735405163928E-2</c:v>
                </c:pt>
                <c:pt idx="6">
                  <c:v>0.31206006329871228</c:v>
                </c:pt>
                <c:pt idx="7">
                  <c:v>-0.15241802074532729</c:v>
                </c:pt>
                <c:pt idx="8">
                  <c:v>-0.54195166318950116</c:v>
                </c:pt>
                <c:pt idx="9">
                  <c:v>-4.3850178777311011E-2</c:v>
                </c:pt>
                <c:pt idx="10">
                  <c:v>-0.64368491363264424</c:v>
                </c:pt>
                <c:pt idx="11">
                  <c:v>9.7856132954928121E-2</c:v>
                </c:pt>
                <c:pt idx="12">
                  <c:v>0.11611684348205209</c:v>
                </c:pt>
                <c:pt idx="13">
                  <c:v>0.18810199646770664</c:v>
                </c:pt>
                <c:pt idx="14">
                  <c:v>-0.12902455623382092</c:v>
                </c:pt>
                <c:pt idx="15">
                  <c:v>-0.4548403363102389</c:v>
                </c:pt>
                <c:pt idx="16">
                  <c:v>0.22143601651863798</c:v>
                </c:pt>
                <c:pt idx="17">
                  <c:v>-0.38923318562103271</c:v>
                </c:pt>
              </c:numCache>
            </c:numRef>
          </c:val>
          <c:extLst xmlns:c15="http://schemas.microsoft.com/office/drawing/2012/chart">
            <c:ext xmlns:c16="http://schemas.microsoft.com/office/drawing/2014/chart" uri="{C3380CC4-5D6E-409C-BE32-E72D297353CC}">
              <c16:uniqueId val="{00000000-93E5-4428-9A45-395E205A0837}"/>
            </c:ext>
          </c:extLst>
        </c:ser>
        <c:dLbls>
          <c:showLegendKey val="0"/>
          <c:showVal val="0"/>
          <c:showCatName val="0"/>
          <c:showSerName val="0"/>
          <c:showPercent val="0"/>
          <c:showBubbleSize val="0"/>
        </c:dLbls>
        <c:gapWidth val="219"/>
        <c:overlap val="-27"/>
        <c:axId val="55998191"/>
        <c:axId val="55996943"/>
        <c:extLst>
          <c:ext xmlns:c15="http://schemas.microsoft.com/office/drawing/2012/chart" uri="{02D57815-91ED-43cb-92C2-25804820EDAC}">
            <c15:filteredBarSeries>
              <c15:ser>
                <c:idx val="0"/>
                <c:order val="0"/>
                <c:tx>
                  <c:v>2017</c:v>
                </c:tx>
                <c:spPr>
                  <a:solidFill>
                    <a:schemeClr val="accent1"/>
                  </a:solidFill>
                  <a:ln>
                    <a:noFill/>
                  </a:ln>
                  <a:effectLst/>
                </c:spPr>
                <c:invertIfNegative val="0"/>
                <c:cat>
                  <c:numLit>
                    <c:formatCode>General</c:formatCode>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numLit>
                </c:cat>
                <c:val>
                  <c:numRef>
                    <c:extLst>
                      <c:ext uri="{02D57815-91ED-43cb-92C2-25804820EDAC}">
                        <c15:formulaRef>
                          <c15:sqref>'Analisi dati, formula corretta'!$AZ$4:$AZ$52</c15:sqref>
                        </c15:formulaRef>
                      </c:ext>
                    </c:extLst>
                    <c:numCache>
                      <c:formatCode>#,##0.00</c:formatCode>
                      <c:ptCount val="49"/>
                      <c:pt idx="0">
                        <c:v>368.88</c:v>
                      </c:pt>
                      <c:pt idx="1">
                        <c:v>405.35909752359856</c:v>
                      </c:pt>
                      <c:pt idx="2">
                        <c:v>881.75829941203074</c:v>
                      </c:pt>
                      <c:pt idx="3">
                        <c:v>388.47824696097251</c:v>
                      </c:pt>
                      <c:pt idx="4">
                        <c:v>371</c:v>
                      </c:pt>
                      <c:pt idx="5">
                        <c:v>388.38532110091745</c:v>
                      </c:pt>
                      <c:pt idx="6">
                        <c:v>904.86689132266213</c:v>
                      </c:pt>
                      <c:pt idx="7">
                        <c:v>395.22230272631839</c:v>
                      </c:pt>
                      <c:pt idx="8">
                        <c:v>976.88275862068963</c:v>
                      </c:pt>
                      <c:pt idx="9">
                        <c:v>386.18599926009006</c:v>
                      </c:pt>
                      <c:pt idx="10">
                        <c:v>391.62999138401415</c:v>
                      </c:pt>
                      <c:pt idx="11">
                        <c:v>704.4110766089583</c:v>
                      </c:pt>
                      <c:pt idx="12">
                        <c:v>382.60635433494883</c:v>
                      </c:pt>
                      <c:pt idx="13">
                        <c:v>1014.2599631450249</c:v>
                      </c:pt>
                      <c:pt idx="14">
                        <c:v>985.69424964936889</c:v>
                      </c:pt>
                      <c:pt idx="15">
                        <c:v>395.39834153132517</c:v>
                      </c:pt>
                      <c:pt idx="16">
                        <c:v>387.4130624931002</c:v>
                      </c:pt>
                      <c:pt idx="17">
                        <c:v>364.17587834891265</c:v>
                      </c:pt>
                      <c:pt idx="18">
                        <c:v>281.57096027767068</c:v>
                      </c:pt>
                      <c:pt idx="19">
                        <c:v>407.69128245998718</c:v>
                      </c:pt>
                      <c:pt idx="20">
                        <c:v>388.47391789206461</c:v>
                      </c:pt>
                      <c:pt idx="21">
                        <c:v>248.44577280114868</c:v>
                      </c:pt>
                      <c:pt idx="22">
                        <c:v>245.27063673896387</c:v>
                      </c:pt>
                      <c:pt idx="23">
                        <c:v>267.09954756699329</c:v>
                      </c:pt>
                      <c:pt idx="24">
                        <c:v>324.73430023149348</c:v>
                      </c:pt>
                      <c:pt idx="25">
                        <c:v>398.48632709749376</c:v>
                      </c:pt>
                      <c:pt idx="26">
                        <c:v>482.20290754824356</c:v>
                      </c:pt>
                      <c:pt idx="27">
                        <c:v>231.55753233807644</c:v>
                      </c:pt>
                      <c:pt idx="28">
                        <c:v>408.46366145354187</c:v>
                      </c:pt>
                      <c:pt idx="29">
                        <c:v>259.06890130353821</c:v>
                      </c:pt>
                      <c:pt idx="30">
                        <c:v>384.98705261351364</c:v>
                      </c:pt>
                      <c:pt idx="31">
                        <c:v>287.65724699772517</c:v>
                      </c:pt>
                      <c:pt idx="32">
                        <c:v>1400.4351729065409</c:v>
                      </c:pt>
                      <c:pt idx="33">
                        <c:v>283.14788261666286</c:v>
                      </c:pt>
                      <c:pt idx="34">
                        <c:v>371.53078595186338</c:v>
                      </c:pt>
                      <c:pt idx="35">
                        <c:v>402.85219937028756</c:v>
                      </c:pt>
                      <c:pt idx="36">
                        <c:v>208.95619422805078</c:v>
                      </c:pt>
                      <c:pt idx="37">
                        <c:v>373.0368682992052</c:v>
                      </c:pt>
                      <c:pt idx="38">
                        <c:v>389.85446136501832</c:v>
                      </c:pt>
                      <c:pt idx="39">
                        <c:v>276.88581081081082</c:v>
                      </c:pt>
                      <c:pt idx="40">
                        <c:v>363.98177657120243</c:v>
                      </c:pt>
                      <c:pt idx="41">
                        <c:v>1068.7291356539076</c:v>
                      </c:pt>
                      <c:pt idx="42">
                        <c:v>371.8029686841416</c:v>
                      </c:pt>
                      <c:pt idx="43">
                        <c:v>415.55262710861052</c:v>
                      </c:pt>
                      <c:pt idx="44">
                        <c:v>395.01954948481028</c:v>
                      </c:pt>
                      <c:pt idx="45">
                        <c:v>289.6468877718379</c:v>
                      </c:pt>
                      <c:pt idx="46">
                        <c:v>453.52286643300533</c:v>
                      </c:pt>
                      <c:pt idx="47">
                        <c:v>384.21145770686195</c:v>
                      </c:pt>
                      <c:pt idx="48">
                        <c:v>378.75641083670774</c:v>
                      </c:pt>
                    </c:numCache>
                  </c:numRef>
                </c:val>
                <c:extLst>
                  <c:ext xmlns:c16="http://schemas.microsoft.com/office/drawing/2014/chart" uri="{C3380CC4-5D6E-409C-BE32-E72D297353CC}">
                    <c16:uniqueId val="{00000001-93E5-4428-9A45-395E205A0837}"/>
                  </c:ext>
                </c:extLst>
              </c15:ser>
            </c15:filteredBarSeries>
            <c15:filteredBarSeries>
              <c15:ser>
                <c:idx val="1"/>
                <c:order val="1"/>
                <c:tx>
                  <c:v>2018</c:v>
                </c:tx>
                <c:spPr>
                  <a:solidFill>
                    <a:schemeClr val="accent2"/>
                  </a:solidFill>
                  <a:ln>
                    <a:noFill/>
                  </a:ln>
                  <a:effectLst/>
                </c:spPr>
                <c:invertIfNegative val="0"/>
                <c:cat>
                  <c:numLit>
                    <c:formatCode>General</c:formatCode>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numLit>
                </c:cat>
                <c:val>
                  <c:numRef>
                    <c:extLst xmlns:c15="http://schemas.microsoft.com/office/drawing/2012/chart">
                      <c:ext xmlns:c15="http://schemas.microsoft.com/office/drawing/2012/chart" uri="{02D57815-91ED-43cb-92C2-25804820EDAC}">
                        <c15:formulaRef>
                          <c15:sqref>'Analisi dati, formula corretta'!$BA$4:$BA$52</c15:sqref>
                        </c15:formulaRef>
                      </c:ext>
                    </c:extLst>
                    <c:numCache>
                      <c:formatCode>#,##0.00</c:formatCode>
                      <c:ptCount val="49"/>
                      <c:pt idx="0">
                        <c:v>419.89</c:v>
                      </c:pt>
                      <c:pt idx="1">
                        <c:v>409.58238022968067</c:v>
                      </c:pt>
                      <c:pt idx="2">
                        <c:v>926.72316513761473</c:v>
                      </c:pt>
                      <c:pt idx="3">
                        <c:v>381.0792815113038</c:v>
                      </c:pt>
                      <c:pt idx="4">
                        <c:v>371</c:v>
                      </c:pt>
                      <c:pt idx="5">
                        <c:v>406.27387996618768</c:v>
                      </c:pt>
                      <c:pt idx="6">
                        <c:v>911.67606915377621</c:v>
                      </c:pt>
                      <c:pt idx="7">
                        <c:v>388.20765449918542</c:v>
                      </c:pt>
                      <c:pt idx="8">
                        <c:v>986.56227461858532</c:v>
                      </c:pt>
                      <c:pt idx="9">
                        <c:v>386.67514957901295</c:v>
                      </c:pt>
                      <c:pt idx="10">
                        <c:v>387.01950587966007</c:v>
                      </c:pt>
                      <c:pt idx="11">
                        <c:v>723.44061520934213</c:v>
                      </c:pt>
                      <c:pt idx="12">
                        <c:v>387.13318284424378</c:v>
                      </c:pt>
                      <c:pt idx="13">
                        <c:v>1019.6104139153898</c:v>
                      </c:pt>
                      <c:pt idx="14">
                        <c:v>988.42664998436032</c:v>
                      </c:pt>
                      <c:pt idx="15">
                        <c:v>387.90872892767277</c:v>
                      </c:pt>
                      <c:pt idx="16">
                        <c:v>394.07139945256534</c:v>
                      </c:pt>
                      <c:pt idx="17">
                        <c:v>367.13450773789924</c:v>
                      </c:pt>
                      <c:pt idx="18">
                        <c:v>298.59904118544347</c:v>
                      </c:pt>
                      <c:pt idx="19">
                        <c:v>411.19435185307179</c:v>
                      </c:pt>
                      <c:pt idx="20">
                        <c:v>386.13351422450734</c:v>
                      </c:pt>
                      <c:pt idx="21">
                        <c:v>247.8819510806058</c:v>
                      </c:pt>
                      <c:pt idx="22">
                        <c:v>231.51000417853015</c:v>
                      </c:pt>
                      <c:pt idx="23">
                        <c:v>268.02066743883017</c:v>
                      </c:pt>
                      <c:pt idx="24">
                        <c:v>319.05597837364905</c:v>
                      </c:pt>
                      <c:pt idx="25">
                        <c:v>406.70106208846397</c:v>
                      </c:pt>
                      <c:pt idx="26">
                        <c:v>409.7043808619257</c:v>
                      </c:pt>
                      <c:pt idx="27">
                        <c:v>226.53597176454846</c:v>
                      </c:pt>
                      <c:pt idx="28">
                        <c:v>402.79823269513992</c:v>
                      </c:pt>
                      <c:pt idx="29">
                        <c:v>264.37665769244217</c:v>
                      </c:pt>
                      <c:pt idx="30">
                        <c:v>385.18648408683117</c:v>
                      </c:pt>
                      <c:pt idx="31">
                        <c:v>346.91898585325868</c:v>
                      </c:pt>
                      <c:pt idx="32">
                        <c:v>1365.3490259504147</c:v>
                      </c:pt>
                      <c:pt idx="33">
                        <c:v>284.14168604159806</c:v>
                      </c:pt>
                      <c:pt idx="34">
                        <c:v>384.19213288507154</c:v>
                      </c:pt>
                      <c:pt idx="35">
                        <c:v>401.87925261907333</c:v>
                      </c:pt>
                      <c:pt idx="36">
                        <c:v>236.84385824673595</c:v>
                      </c:pt>
                      <c:pt idx="37">
                        <c:v>381.55689254338745</c:v>
                      </c:pt>
                      <c:pt idx="38">
                        <c:v>389.48996516680569</c:v>
                      </c:pt>
                      <c:pt idx="39">
                        <c:v>275.68735855156808</c:v>
                      </c:pt>
                      <c:pt idx="40">
                        <c:v>366.7633781033324</c:v>
                      </c:pt>
                      <c:pt idx="41">
                        <c:v>1039.507111940613</c:v>
                      </c:pt>
                      <c:pt idx="42">
                        <c:v>374.89580731984796</c:v>
                      </c:pt>
                      <c:pt idx="43">
                        <c:v>399.3525124299793</c:v>
                      </c:pt>
                      <c:pt idx="44">
                        <c:v>391.54343972989676</c:v>
                      </c:pt>
                      <c:pt idx="45">
                        <c:v>279.38215946467051</c:v>
                      </c:pt>
                      <c:pt idx="46">
                        <c:v>430.55219855054116</c:v>
                      </c:pt>
                      <c:pt idx="47">
                        <c:v>377.37046885271144</c:v>
                      </c:pt>
                      <c:pt idx="48">
                        <c:v>379.23259748048815</c:v>
                      </c:pt>
                    </c:numCache>
                  </c:numRef>
                </c:val>
                <c:extLst xmlns:c15="http://schemas.microsoft.com/office/drawing/2012/chart">
                  <c:ext xmlns:c16="http://schemas.microsoft.com/office/drawing/2014/chart" uri="{C3380CC4-5D6E-409C-BE32-E72D297353CC}">
                    <c16:uniqueId val="{00000002-93E5-4428-9A45-395E205A0837}"/>
                  </c:ext>
                </c:extLst>
              </c15:ser>
            </c15:filteredBarSeries>
            <c15:filteredBarSeries>
              <c15:ser>
                <c:idx val="2"/>
                <c:order val="2"/>
                <c:tx>
                  <c:v>2019</c:v>
                </c:tx>
                <c:spPr>
                  <a:solidFill>
                    <a:schemeClr val="accent3"/>
                  </a:solidFill>
                  <a:ln>
                    <a:noFill/>
                  </a:ln>
                  <a:effectLst/>
                </c:spPr>
                <c:invertIfNegative val="0"/>
                <c:cat>
                  <c:numLit>
                    <c:formatCode>General</c:formatCode>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numLit>
                </c:cat>
                <c:val>
                  <c:numRef>
                    <c:extLst xmlns:c15="http://schemas.microsoft.com/office/drawing/2012/chart">
                      <c:ext xmlns:c15="http://schemas.microsoft.com/office/drawing/2012/chart" uri="{02D57815-91ED-43cb-92C2-25804820EDAC}">
                        <c15:formulaRef>
                          <c15:sqref>'Analisi dati, formula corretta'!$BB$4:$BB$52</c15:sqref>
                        </c15:formulaRef>
                      </c:ext>
                    </c:extLst>
                    <c:numCache>
                      <c:formatCode>#,##0.00</c:formatCode>
                      <c:ptCount val="49"/>
                      <c:pt idx="0">
                        <c:v>412.3</c:v>
                      </c:pt>
                      <c:pt idx="1">
                        <c:v>401.07605938585249</c:v>
                      </c:pt>
                      <c:pt idx="2">
                        <c:v>1028.8193651518611</c:v>
                      </c:pt>
                      <c:pt idx="3">
                        <c:v>379.55289765721329</c:v>
                      </c:pt>
                      <c:pt idx="4">
                        <c:v>386</c:v>
                      </c:pt>
                      <c:pt idx="5">
                        <c:v>386.94617563739376</c:v>
                      </c:pt>
                      <c:pt idx="6">
                        <c:v>882.47396630934145</c:v>
                      </c:pt>
                      <c:pt idx="7">
                        <c:v>394.73783455947142</c:v>
                      </c:pt>
                      <c:pt idx="8">
                        <c:v>1020.5023279875841</c:v>
                      </c:pt>
                      <c:pt idx="9">
                        <c:v>380.74424039983046</c:v>
                      </c:pt>
                      <c:pt idx="10">
                        <c:v>383.23726878930313</c:v>
                      </c:pt>
                      <c:pt idx="11">
                        <c:v>709.09307591467052</c:v>
                      </c:pt>
                      <c:pt idx="12">
                        <c:v>381.04020656584288</c:v>
                      </c:pt>
                      <c:pt idx="13">
                        <c:v>987.08187448670208</c:v>
                      </c:pt>
                      <c:pt idx="14">
                        <c:v>996.0972680876614</c:v>
                      </c:pt>
                      <c:pt idx="15">
                        <c:v>393.62834457951203</c:v>
                      </c:pt>
                      <c:pt idx="16">
                        <c:v>389.24523644308124</c:v>
                      </c:pt>
                      <c:pt idx="17">
                        <c:v>368.22433797550036</c:v>
                      </c:pt>
                      <c:pt idx="18">
                        <c:v>297.54750469826683</c:v>
                      </c:pt>
                      <c:pt idx="19">
                        <c:v>398.19853122774254</c:v>
                      </c:pt>
                      <c:pt idx="20">
                        <c:v>380.47284319130461</c:v>
                      </c:pt>
                      <c:pt idx="21">
                        <c:v>249.63268453557146</c:v>
                      </c:pt>
                      <c:pt idx="22">
                        <c:v>226.05266724053357</c:v>
                      </c:pt>
                      <c:pt idx="23">
                        <c:v>264.68753154045896</c:v>
                      </c:pt>
                      <c:pt idx="24">
                        <c:v>322.58963699208357</c:v>
                      </c:pt>
                      <c:pt idx="25">
                        <c:v>404.49073150664435</c:v>
                      </c:pt>
                      <c:pt idx="26">
                        <c:v>400.18382994743166</c:v>
                      </c:pt>
                      <c:pt idx="27">
                        <c:v>232.04161869800376</c:v>
                      </c:pt>
                      <c:pt idx="28">
                        <c:v>406.81818181818181</c:v>
                      </c:pt>
                      <c:pt idx="29">
                        <c:v>258.33805613673258</c:v>
                      </c:pt>
                      <c:pt idx="30">
                        <c:v>387.74340771304918</c:v>
                      </c:pt>
                      <c:pt idx="31">
                        <c:v>321.13423141688719</c:v>
                      </c:pt>
                      <c:pt idx="32">
                        <c:v>1315.3005104421818</c:v>
                      </c:pt>
                      <c:pt idx="33">
                        <c:v>281.32675916457544</c:v>
                      </c:pt>
                      <c:pt idx="34">
                        <c:v>384.49821561750724</c:v>
                      </c:pt>
                      <c:pt idx="35">
                        <c:v>398.94266051179977</c:v>
                      </c:pt>
                      <c:pt idx="36">
                        <c:v>178.69415807560139</c:v>
                      </c:pt>
                      <c:pt idx="37">
                        <c:v>0</c:v>
                      </c:pt>
                      <c:pt idx="38">
                        <c:v>393.45100995441476</c:v>
                      </c:pt>
                      <c:pt idx="39">
                        <c:v>284.46931163106137</c:v>
                      </c:pt>
                      <c:pt idx="40">
                        <c:v>366.21602235710282</c:v>
                      </c:pt>
                      <c:pt idx="41">
                        <c:v>1132.3979192318661</c:v>
                      </c:pt>
                      <c:pt idx="42">
                        <c:v>375.04012195179683</c:v>
                      </c:pt>
                      <c:pt idx="43">
                        <c:v>395.57312030931502</c:v>
                      </c:pt>
                      <c:pt idx="44">
                        <c:v>394.14656750474091</c:v>
                      </c:pt>
                      <c:pt idx="45">
                        <c:v>275.96848677570051</c:v>
                      </c:pt>
                      <c:pt idx="46">
                        <c:v>418.63708571875645</c:v>
                      </c:pt>
                      <c:pt idx="47">
                        <c:v>373.10171461386358</c:v>
                      </c:pt>
                      <c:pt idx="48">
                        <c:v>370.52096486727464</c:v>
                      </c:pt>
                    </c:numCache>
                  </c:numRef>
                </c:val>
                <c:extLst xmlns:c15="http://schemas.microsoft.com/office/drawing/2012/chart">
                  <c:ext xmlns:c16="http://schemas.microsoft.com/office/drawing/2014/chart" uri="{C3380CC4-5D6E-409C-BE32-E72D297353CC}">
                    <c16:uniqueId val="{00000003-93E5-4428-9A45-395E205A0837}"/>
                  </c:ext>
                </c:extLst>
              </c15:ser>
            </c15:filteredBarSeries>
            <c15:filteredBarSeries>
              <c15:ser>
                <c:idx val="4"/>
                <c:order val="4"/>
                <c:spPr>
                  <a:solidFill>
                    <a:schemeClr val="accent5"/>
                  </a:solidFill>
                  <a:ln>
                    <a:noFill/>
                  </a:ln>
                  <a:effectLst/>
                </c:spPr>
                <c:invertIfNegative val="0"/>
                <c:cat>
                  <c:numLit>
                    <c:formatCode>General</c:formatCode>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numLit>
                </c:cat>
                <c:val>
                  <c:numRef>
                    <c:extLst xmlns:c15="http://schemas.microsoft.com/office/drawing/2012/chart">
                      <c:ext xmlns:c15="http://schemas.microsoft.com/office/drawing/2012/chart" uri="{02D57815-91ED-43cb-92C2-25804820EDAC}">
                        <c15:formulaRef>
                          <c15:sqref>'Analisi dati, formula corretta'!$BA$3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4-93E5-4428-9A45-395E205A0837}"/>
                  </c:ext>
                </c:extLst>
              </c15:ser>
            </c15:filteredBarSeries>
            <c15:filteredBarSeries>
              <c15:ser>
                <c:idx val="5"/>
                <c:order val="5"/>
                <c:spPr>
                  <a:solidFill>
                    <a:schemeClr val="accent6"/>
                  </a:solidFill>
                  <a:ln>
                    <a:noFill/>
                  </a:ln>
                  <a:effectLst/>
                </c:spPr>
                <c:invertIfNegative val="0"/>
                <c:cat>
                  <c:numLit>
                    <c:formatCode>General</c:formatCode>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numLit>
                </c:cat>
                <c:val>
                  <c:numRef>
                    <c:extLst xmlns:c15="http://schemas.microsoft.com/office/drawing/2012/chart">
                      <c:ext xmlns:c15="http://schemas.microsoft.com/office/drawing/2012/chart" uri="{02D57815-91ED-43cb-92C2-25804820EDAC}">
                        <c15:formulaRef>
                          <c15:sqref>'Analisi dati, formula corretta'!$BB$3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5-93E5-4428-9A45-395E205A0837}"/>
                  </c:ext>
                </c:extLst>
              </c15:ser>
            </c15:filteredBarSeries>
          </c:ext>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 generali delle emissioni specifiche delle centrali</a:t>
            </a:r>
            <a:r>
              <a:rPr lang="it-IT" baseline="0"/>
              <a:t> a ciclo combinato</a:t>
            </a:r>
            <a:r>
              <a:rPr lang="it-IT"/>
              <a:t> (NOx</a:t>
            </a:r>
            <a:r>
              <a:rPr lang="it-IT"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pieChart>
        <c:varyColors val="1"/>
        <c:ser>
          <c:idx val="0"/>
          <c:order val="0"/>
          <c:dPt>
            <c:idx val="0"/>
            <c:bubble3D val="0"/>
            <c:spPr>
              <a:solidFill>
                <a:srgbClr val="FF0000"/>
              </a:solidFill>
              <a:ln>
                <a:noFill/>
              </a:ln>
              <a:effectLst/>
            </c:spPr>
            <c:extLst>
              <c:ext xmlns:c16="http://schemas.microsoft.com/office/drawing/2014/chart" uri="{C3380CC4-5D6E-409C-BE32-E72D297353CC}">
                <c16:uniqueId val="{00000001-3081-4C67-B5BC-2420B23A1925}"/>
              </c:ext>
            </c:extLst>
          </c:dPt>
          <c:dPt>
            <c:idx val="1"/>
            <c:bubble3D val="0"/>
            <c:spPr>
              <a:solidFill>
                <a:srgbClr val="92D050"/>
              </a:solidFill>
              <a:ln>
                <a:noFill/>
              </a:ln>
              <a:effectLst/>
            </c:spPr>
            <c:extLst>
              <c:ext xmlns:c16="http://schemas.microsoft.com/office/drawing/2014/chart" uri="{C3380CC4-5D6E-409C-BE32-E72D297353CC}">
                <c16:uniqueId val="{00000003-3081-4C67-B5BC-2420B23A192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'Analisi dati, formula corretta'!$BH$54:$BH$55</c:f>
              <c:strCache>
                <c:ptCount val="2"/>
                <c:pt idx="0">
                  <c:v>Incremento emissioni specifiche</c:v>
                </c:pt>
                <c:pt idx="1">
                  <c:v>Diminuzione emissioni specifiche</c:v>
                </c:pt>
              </c:strCache>
            </c:strRef>
          </c:cat>
          <c:val>
            <c:numRef>
              <c:f>'Analisi dati, formula corretta'!$BP$173:$BP$174</c:f>
              <c:numCache>
                <c:formatCode>General</c:formatCode>
                <c:ptCount val="2"/>
                <c:pt idx="0">
                  <c:v>9</c:v>
                </c:pt>
                <c:pt idx="1">
                  <c:v>15</c:v>
                </c:pt>
              </c:numCache>
            </c:numRef>
          </c:val>
          <c:extLst>
            <c:ext xmlns:c16="http://schemas.microsoft.com/office/drawing/2014/chart" uri="{C3380CC4-5D6E-409C-BE32-E72D297353CC}">
              <c16:uniqueId val="{00000006-3081-4C67-B5BC-2420B23A1925}"/>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delle centrali a carbone (CO)</a:t>
            </a:r>
          </a:p>
        </c:rich>
      </c:tx>
      <c:layout>
        <c:manualLayout>
          <c:xMode val="edge"/>
          <c:yMode val="edge"/>
          <c:x val="0.31873984686825391"/>
          <c:y val="1.27165354330708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1"/>
          <c:order val="0"/>
          <c:tx>
            <c:v>2011</c:v>
          </c:tx>
          <c:spPr>
            <a:solidFill>
              <a:schemeClr val="accent2"/>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corretta'!$CP$4:$CP$52</c15:sqref>
                  </c15:fullRef>
                </c:ext>
              </c:extLst>
              <c:f>('Analisi dati, formula corretta'!$CP$6,'Analisi dati, formula corretta'!$CP$10,'Analisi dati, formula corretta'!$CP$12,'Analisi dati, formula corretta'!$CP$17:$CP$18,'Analisi dati, formula corretta'!$CP$36,'Analisi dati, formula corretta'!$CP$45)</c:f>
              <c:numCache>
                <c:formatCode>#,##0.00000</c:formatCode>
                <c:ptCount val="7"/>
                <c:pt idx="0">
                  <c:v>0.14142869701164007</c:v>
                </c:pt>
                <c:pt idx="1">
                  <c:v>0.23945783132530121</c:v>
                </c:pt>
                <c:pt idx="2">
                  <c:v>0</c:v>
                </c:pt>
                <c:pt idx="3">
                  <c:v>0.33023911871243306</c:v>
                </c:pt>
                <c:pt idx="4">
                  <c:v>2.0710059171597635E-2</c:v>
                </c:pt>
                <c:pt idx="5">
                  <c:v>5.6218238682734956E-2</c:v>
                </c:pt>
                <c:pt idx="6">
                  <c:v>0.14518719032733635</c:v>
                </c:pt>
              </c:numCache>
            </c:numRef>
          </c:val>
          <c:extLst>
            <c:ext xmlns:c16="http://schemas.microsoft.com/office/drawing/2014/chart" uri="{C3380CC4-5D6E-409C-BE32-E72D297353CC}">
              <c16:uniqueId val="{00000001-52AF-41CE-8CD1-EED05DB121B0}"/>
            </c:ext>
          </c:extLst>
        </c:ser>
        <c:ser>
          <c:idx val="0"/>
          <c:order val="1"/>
          <c:tx>
            <c:v>2012</c:v>
          </c:tx>
          <c:spPr>
            <a:solidFill>
              <a:schemeClr val="accent1"/>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corretta'!$CQ$4:$CQ$52</c15:sqref>
                  </c15:fullRef>
                </c:ext>
              </c:extLst>
              <c:f>('Analisi dati, formula corretta'!$CQ$6,'Analisi dati, formula corretta'!$CQ$10,'Analisi dati, formula corretta'!$CQ$12,'Analisi dati, formula corretta'!$CQ$17:$CQ$18,'Analisi dati, formula corretta'!$CQ$36,'Analisi dati, formula corretta'!$CQ$45)</c:f>
              <c:numCache>
                <c:formatCode>#,##0.00000</c:formatCode>
                <c:ptCount val="7"/>
                <c:pt idx="0">
                  <c:v>0.15142376819289641</c:v>
                </c:pt>
                <c:pt idx="1">
                  <c:v>0.34025096525096526</c:v>
                </c:pt>
                <c:pt idx="2">
                  <c:v>0</c:v>
                </c:pt>
                <c:pt idx="3">
                  <c:v>0.42829737020868702</c:v>
                </c:pt>
                <c:pt idx="4">
                  <c:v>2.3194517659462309E-2</c:v>
                </c:pt>
                <c:pt idx="5">
                  <c:v>5.087367990769056E-2</c:v>
                </c:pt>
                <c:pt idx="6">
                  <c:v>0.1694647104774834</c:v>
                </c:pt>
              </c:numCache>
            </c:numRef>
          </c:val>
          <c:extLst>
            <c:ext xmlns:c16="http://schemas.microsoft.com/office/drawing/2014/chart" uri="{C3380CC4-5D6E-409C-BE32-E72D297353CC}">
              <c16:uniqueId val="{00000002-52AF-41CE-8CD1-EED05DB121B0}"/>
            </c:ext>
          </c:extLst>
        </c:ser>
        <c:ser>
          <c:idx val="2"/>
          <c:order val="2"/>
          <c:tx>
            <c:v>2013</c:v>
          </c:tx>
          <c:spPr>
            <a:solidFill>
              <a:schemeClr val="accent3"/>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corretta'!$CR$4:$CR$52</c15:sqref>
                  </c15:fullRef>
                </c:ext>
              </c:extLst>
              <c:f>('Analisi dati, formula corretta'!$CR$6,'Analisi dati, formula corretta'!$CR$10,'Analisi dati, formula corretta'!$CR$12,'Analisi dati, formula corretta'!$CR$17:$CR$18,'Analisi dati, formula corretta'!$CR$36,'Analisi dati, formula corretta'!$CR$45)</c:f>
              <c:numCache>
                <c:formatCode>#,##0.00000</c:formatCode>
                <c:ptCount val="7"/>
                <c:pt idx="0">
                  <c:v>0.15052482394830355</c:v>
                </c:pt>
                <c:pt idx="1">
                  <c:v>0.20472440944881889</c:v>
                </c:pt>
                <c:pt idx="2">
                  <c:v>3.7068965517241377E-2</c:v>
                </c:pt>
                <c:pt idx="3">
                  <c:v>0.38337617346877967</c:v>
                </c:pt>
                <c:pt idx="4">
                  <c:v>1.0112684195319271E-2</c:v>
                </c:pt>
                <c:pt idx="5">
                  <c:v>4.354159672032655E-2</c:v>
                </c:pt>
                <c:pt idx="6">
                  <c:v>0.20292930237007908</c:v>
                </c:pt>
              </c:numCache>
            </c:numRef>
          </c:val>
          <c:extLst>
            <c:ext xmlns:c16="http://schemas.microsoft.com/office/drawing/2014/chart" uri="{C3380CC4-5D6E-409C-BE32-E72D297353CC}">
              <c16:uniqueId val="{00000003-52AF-41CE-8CD1-EED05DB121B0}"/>
            </c:ext>
          </c:extLst>
        </c:ser>
        <c:ser>
          <c:idx val="3"/>
          <c:order val="3"/>
          <c:tx>
            <c:v>2014</c:v>
          </c:tx>
          <c:spPr>
            <a:solidFill>
              <a:schemeClr val="accent4"/>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corretta'!$CS$4:$CS$52</c15:sqref>
                  </c15:fullRef>
                </c:ext>
              </c:extLst>
              <c:f>('Analisi dati, formula corretta'!$CS$6,'Analisi dati, formula corretta'!$CS$10,'Analisi dati, formula corretta'!$CS$12,'Analisi dati, formula corretta'!$CS$17:$CS$18,'Analisi dati, formula corretta'!$CS$36,'Analisi dati, formula corretta'!$CS$45)</c:f>
              <c:numCache>
                <c:formatCode>#,##0.00000</c:formatCode>
                <c:ptCount val="7"/>
                <c:pt idx="0">
                  <c:v>0.13576813535528448</c:v>
                </c:pt>
                <c:pt idx="1">
                  <c:v>0.21200980392156862</c:v>
                </c:pt>
                <c:pt idx="2">
                  <c:v>0</c:v>
                </c:pt>
                <c:pt idx="3">
                  <c:v>0.38564342139153768</c:v>
                </c:pt>
                <c:pt idx="4">
                  <c:v>1.2554927809165096E-2</c:v>
                </c:pt>
                <c:pt idx="5">
                  <c:v>4.3895329416358535E-2</c:v>
                </c:pt>
                <c:pt idx="6">
                  <c:v>0.18649835147275334</c:v>
                </c:pt>
              </c:numCache>
            </c:numRef>
          </c:val>
          <c:extLst>
            <c:ext xmlns:c16="http://schemas.microsoft.com/office/drawing/2014/chart" uri="{C3380CC4-5D6E-409C-BE32-E72D297353CC}">
              <c16:uniqueId val="{00000004-52AF-41CE-8CD1-EED05DB121B0}"/>
            </c:ext>
          </c:extLst>
        </c:ser>
        <c:ser>
          <c:idx val="4"/>
          <c:order val="4"/>
          <c:tx>
            <c:v>2015</c:v>
          </c:tx>
          <c:spPr>
            <a:solidFill>
              <a:schemeClr val="accent5"/>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corretta'!$CT$4:$CT$52</c15:sqref>
                  </c15:fullRef>
                </c:ext>
              </c:extLst>
              <c:f>('Analisi dati, formula corretta'!$CT$6,'Analisi dati, formula corretta'!$CT$10,'Analisi dati, formula corretta'!$CT$12,'Analisi dati, formula corretta'!$CT$17:$CT$18,'Analisi dati, formula corretta'!$CT$36,'Analisi dati, formula corretta'!$CT$45)</c:f>
              <c:numCache>
                <c:formatCode>#,##0.00000</c:formatCode>
                <c:ptCount val="7"/>
                <c:pt idx="0">
                  <c:v>0.14371732826070874</c:v>
                </c:pt>
                <c:pt idx="1">
                  <c:v>0.23335943617854346</c:v>
                </c:pt>
                <c:pt idx="2">
                  <c:v>0</c:v>
                </c:pt>
                <c:pt idx="3">
                  <c:v>0.30660490259261147</c:v>
                </c:pt>
                <c:pt idx="4">
                  <c:v>4.3159257660768235E-4</c:v>
                </c:pt>
                <c:pt idx="5">
                  <c:v>3.7144289335982718E-2</c:v>
                </c:pt>
                <c:pt idx="6">
                  <c:v>0.19602654805100495</c:v>
                </c:pt>
              </c:numCache>
            </c:numRef>
          </c:val>
          <c:extLst>
            <c:ext xmlns:c16="http://schemas.microsoft.com/office/drawing/2014/chart" uri="{C3380CC4-5D6E-409C-BE32-E72D297353CC}">
              <c16:uniqueId val="{00000005-52AF-41CE-8CD1-EED05DB121B0}"/>
            </c:ext>
          </c:extLst>
        </c:ser>
        <c:ser>
          <c:idx val="5"/>
          <c:order val="5"/>
          <c:tx>
            <c:v>2016</c:v>
          </c:tx>
          <c:spPr>
            <a:solidFill>
              <a:schemeClr val="accent6"/>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corretta'!$CU$4:$CU$52</c15:sqref>
                  </c15:fullRef>
                </c:ext>
              </c:extLst>
              <c:f>('Analisi dati, formula corretta'!$CU$6,'Analisi dati, formula corretta'!$CU$10,'Analisi dati, formula corretta'!$CU$12,'Analisi dati, formula corretta'!$CU$17:$CU$18,'Analisi dati, formula corretta'!$CU$36,'Analisi dati, formula corretta'!$CU$45)</c:f>
              <c:numCache>
                <c:formatCode>#,##0.00000</c:formatCode>
                <c:ptCount val="7"/>
                <c:pt idx="0">
                  <c:v>0.16302638476323605</c:v>
                </c:pt>
                <c:pt idx="1">
                  <c:v>0.36407766990291263</c:v>
                </c:pt>
                <c:pt idx="2">
                  <c:v>3.9211484893936145E-2</c:v>
                </c:pt>
                <c:pt idx="3">
                  <c:v>0.16880149513965653</c:v>
                </c:pt>
                <c:pt idx="4">
                  <c:v>4.0749796251018743E-4</c:v>
                </c:pt>
                <c:pt idx="5">
                  <c:v>5.2086748594892256E-2</c:v>
                </c:pt>
                <c:pt idx="6">
                  <c:v>0.17839401068886682</c:v>
                </c:pt>
              </c:numCache>
            </c:numRef>
          </c:val>
          <c:extLst>
            <c:ext xmlns:c16="http://schemas.microsoft.com/office/drawing/2014/chart" uri="{C3380CC4-5D6E-409C-BE32-E72D297353CC}">
              <c16:uniqueId val="{00000006-52AF-41CE-8CD1-EED05DB121B0}"/>
            </c:ext>
          </c:extLst>
        </c:ser>
        <c:ser>
          <c:idx val="6"/>
          <c:order val="6"/>
          <c:tx>
            <c:v>2017</c:v>
          </c:tx>
          <c:spPr>
            <a:solidFill>
              <a:schemeClr val="accent1">
                <a:lumMod val="60000"/>
              </a:schemeClr>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corretta'!$CV$4:$CV$52</c15:sqref>
                  </c15:fullRef>
                </c:ext>
              </c:extLst>
              <c:f>('Analisi dati, formula corretta'!$CV$6,'Analisi dati, formula corretta'!$CV$10,'Analisi dati, formula corretta'!$CV$12,'Analisi dati, formula corretta'!$CV$17:$CV$18,'Analisi dati, formula corretta'!$CV$36,'Analisi dati, formula corretta'!$CV$45)</c:f>
              <c:numCache>
                <c:formatCode>#,##0.00000</c:formatCode>
                <c:ptCount val="7"/>
                <c:pt idx="0">
                  <c:v>0.17657168701944823</c:v>
                </c:pt>
                <c:pt idx="1">
                  <c:v>0.27716933445661329</c:v>
                </c:pt>
                <c:pt idx="2">
                  <c:v>3.0503978779840849E-2</c:v>
                </c:pt>
                <c:pt idx="3">
                  <c:v>0.18377276447461577</c:v>
                </c:pt>
                <c:pt idx="4">
                  <c:v>2.8050490883590464E-4</c:v>
                </c:pt>
                <c:pt idx="5">
                  <c:v>3.5090043305904851E-2</c:v>
                </c:pt>
                <c:pt idx="6">
                  <c:v>0.13051932353416665</c:v>
                </c:pt>
              </c:numCache>
            </c:numRef>
          </c:val>
          <c:extLst>
            <c:ext xmlns:c16="http://schemas.microsoft.com/office/drawing/2014/chart" uri="{C3380CC4-5D6E-409C-BE32-E72D297353CC}">
              <c16:uniqueId val="{00000007-52AF-41CE-8CD1-EED05DB121B0}"/>
            </c:ext>
          </c:extLst>
        </c:ser>
        <c:ser>
          <c:idx val="7"/>
          <c:order val="7"/>
          <c:tx>
            <c:v>2018</c:v>
          </c:tx>
          <c:spPr>
            <a:solidFill>
              <a:schemeClr val="accent2">
                <a:lumMod val="60000"/>
              </a:schemeClr>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corretta'!$CW$4:$CW$52</c15:sqref>
                  </c15:fullRef>
                </c:ext>
              </c:extLst>
              <c:f>('Analisi dati, formula corretta'!$CW$6,'Analisi dati, formula corretta'!$CW$10,'Analisi dati, formula corretta'!$CW$12,'Analisi dati, formula corretta'!$CW$17:$CW$18,'Analisi dati, formula corretta'!$CW$36,'Analisi dati, formula corretta'!$CW$45)</c:f>
              <c:numCache>
                <c:formatCode>#,##0.00000</c:formatCode>
                <c:ptCount val="7"/>
                <c:pt idx="0">
                  <c:v>0.14816513761467889</c:v>
                </c:pt>
                <c:pt idx="1">
                  <c:v>0.23839854413102821</c:v>
                </c:pt>
                <c:pt idx="2">
                  <c:v>2.7184466019417475E-2</c:v>
                </c:pt>
                <c:pt idx="3">
                  <c:v>0.16071509759741501</c:v>
                </c:pt>
                <c:pt idx="4">
                  <c:v>3.1279324366593683E-4</c:v>
                </c:pt>
                <c:pt idx="5">
                  <c:v>5.1255050600545138E-2</c:v>
                </c:pt>
                <c:pt idx="6">
                  <c:v>8.4645625206632116E-2</c:v>
                </c:pt>
              </c:numCache>
            </c:numRef>
          </c:val>
          <c:extLst>
            <c:ext xmlns:c16="http://schemas.microsoft.com/office/drawing/2014/chart" uri="{C3380CC4-5D6E-409C-BE32-E72D297353CC}">
              <c16:uniqueId val="{00000008-52AF-41CE-8CD1-EED05DB121B0}"/>
            </c:ext>
          </c:extLst>
        </c:ser>
        <c:ser>
          <c:idx val="8"/>
          <c:order val="8"/>
          <c:tx>
            <c:v>2019</c:v>
          </c:tx>
          <c:spPr>
            <a:solidFill>
              <a:schemeClr val="accent3">
                <a:lumMod val="60000"/>
              </a:schemeClr>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corretta'!$CX$4:$CX$52</c15:sqref>
                  </c15:fullRef>
                </c:ext>
              </c:extLst>
              <c:f>('Analisi dati, formula corretta'!$CX$6,'Analisi dati, formula corretta'!$CX$10,'Analisi dati, formula corretta'!$CX$12,'Analisi dati, formula corretta'!$CX$17:$CX$18,'Analisi dati, formula corretta'!$CX$36,'Analisi dati, formula corretta'!$CX$45)</c:f>
              <c:numCache>
                <c:formatCode>#,##0.00000</c:formatCode>
                <c:ptCount val="7"/>
                <c:pt idx="0">
                  <c:v>0.15391641927380681</c:v>
                </c:pt>
                <c:pt idx="1">
                  <c:v>0.29555895865237364</c:v>
                </c:pt>
                <c:pt idx="2">
                  <c:v>2.5866528711846869E-2</c:v>
                </c:pt>
                <c:pt idx="3">
                  <c:v>0.15437530489122717</c:v>
                </c:pt>
                <c:pt idx="4">
                  <c:v>3.0021014710297208E-4</c:v>
                </c:pt>
                <c:pt idx="5">
                  <c:v>3.5726116698060507E-2</c:v>
                </c:pt>
                <c:pt idx="6">
                  <c:v>7.7188664732896192E-2</c:v>
                </c:pt>
              </c:numCache>
            </c:numRef>
          </c:val>
          <c:extLst>
            <c:ext xmlns:c16="http://schemas.microsoft.com/office/drawing/2014/chart" uri="{C3380CC4-5D6E-409C-BE32-E72D297353CC}">
              <c16:uniqueId val="{00000009-52AF-41CE-8CD1-EED05DB121B0}"/>
            </c:ext>
          </c:extLst>
        </c:ser>
        <c:dLbls>
          <c:showLegendKey val="0"/>
          <c:showVal val="0"/>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specifiche delle centrali a carbone in % di variazione (CO)</a:t>
            </a:r>
            <a:endParaRPr lang="it-IT"/>
          </a:p>
        </c:rich>
      </c:tx>
      <c:layout>
        <c:manualLayout>
          <c:xMode val="edge"/>
          <c:yMode val="edge"/>
          <c:x val="0.23762250662977055"/>
          <c:y val="1.058201205155078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3"/>
          <c:order val="3"/>
          <c:tx>
            <c:v>Variazioni</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7"/>
              <c:pt idx="0">
                <c:v>3</c:v>
              </c:pt>
              <c:pt idx="1">
                <c:v>7</c:v>
              </c:pt>
              <c:pt idx="2">
                <c:v>9</c:v>
              </c:pt>
              <c:pt idx="3">
                <c:v>14</c:v>
              </c:pt>
              <c:pt idx="4">
                <c:v>15</c:v>
              </c:pt>
              <c:pt idx="5">
                <c:v>33</c:v>
              </c:pt>
              <c:pt idx="6">
                <c:v>42</c:v>
              </c:pt>
            </c:numLit>
          </c:cat>
          <c:val>
            <c:numRef>
              <c:f>('Analisi dati, formula corretta'!$DB$6,'Analisi dati, formula corretta'!$DB$10,'Analisi dati, formula corretta'!$DB$12,'Analisi dati, formula corretta'!$DB$17,'Analisi dati, formula corretta'!$DB$18,'Analisi dati, formula corretta'!$DB$36,'Analisi dati, formula corretta'!$DB$45)</c:f>
              <c:numCache>
                <c:formatCode>0.00%</c:formatCode>
                <c:ptCount val="7"/>
                <c:pt idx="0">
                  <c:v>8.8296947691874461E-2</c:v>
                </c:pt>
                <c:pt idx="1">
                  <c:v>0.23428395311431505</c:v>
                </c:pt>
                <c:pt idx="2">
                  <c:v>-0.30220527195947977</c:v>
                </c:pt>
                <c:pt idx="3">
                  <c:v>-0.53253477209750333</c:v>
                </c:pt>
                <c:pt idx="4">
                  <c:v>-0.98550413861131358</c:v>
                </c:pt>
                <c:pt idx="5">
                  <c:v>-0.3645102099395322</c:v>
                </c:pt>
                <c:pt idx="6">
                  <c:v>-0.46835072323620242</c:v>
                </c:pt>
              </c:numCache>
            </c:numRef>
          </c:val>
          <c:extLst xmlns:c15="http://schemas.microsoft.com/office/drawing/2012/chart">
            <c:ext xmlns:c16="http://schemas.microsoft.com/office/drawing/2014/chart" uri="{C3380CC4-5D6E-409C-BE32-E72D297353CC}">
              <c16:uniqueId val="{00000000-B203-469C-8552-E3658B80B7C5}"/>
            </c:ext>
          </c:extLst>
        </c:ser>
        <c:dLbls>
          <c:showLegendKey val="0"/>
          <c:showVal val="0"/>
          <c:showCatName val="0"/>
          <c:showSerName val="0"/>
          <c:showPercent val="0"/>
          <c:showBubbleSize val="0"/>
        </c:dLbls>
        <c:gapWidth val="219"/>
        <c:overlap val="-27"/>
        <c:axId val="55998191"/>
        <c:axId val="55996943"/>
        <c:extLst>
          <c:ext xmlns:c15="http://schemas.microsoft.com/office/drawing/2012/chart" uri="{02D57815-91ED-43cb-92C2-25804820EDAC}">
            <c15:filteredBarSeries>
              <c15:ser>
                <c:idx val="0"/>
                <c:order val="0"/>
                <c:tx>
                  <c:v>2017</c:v>
                </c:tx>
                <c:spPr>
                  <a:solidFill>
                    <a:schemeClr val="accent1"/>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c:ext uri="{02D57815-91ED-43cb-92C2-25804820EDAC}">
                        <c15:formulaRef>
                          <c15:sqref>'Analisi dati, formula corretta'!$AZ$4:$AZ$52</c15:sqref>
                        </c15:formulaRef>
                      </c:ext>
                    </c:extLst>
                    <c:numCache>
                      <c:formatCode>#,##0.00</c:formatCode>
                      <c:ptCount val="49"/>
                      <c:pt idx="0">
                        <c:v>368.88</c:v>
                      </c:pt>
                      <c:pt idx="1">
                        <c:v>405.35909752359856</c:v>
                      </c:pt>
                      <c:pt idx="2">
                        <c:v>881.75829941203074</c:v>
                      </c:pt>
                      <c:pt idx="3">
                        <c:v>388.47824696097251</c:v>
                      </c:pt>
                      <c:pt idx="4">
                        <c:v>371</c:v>
                      </c:pt>
                      <c:pt idx="5">
                        <c:v>388.38532110091745</c:v>
                      </c:pt>
                      <c:pt idx="6">
                        <c:v>904.86689132266213</c:v>
                      </c:pt>
                      <c:pt idx="7">
                        <c:v>395.22230272631839</c:v>
                      </c:pt>
                      <c:pt idx="8">
                        <c:v>976.88275862068963</c:v>
                      </c:pt>
                      <c:pt idx="9">
                        <c:v>386.18599926009006</c:v>
                      </c:pt>
                      <c:pt idx="10">
                        <c:v>391.62999138401415</c:v>
                      </c:pt>
                      <c:pt idx="11">
                        <c:v>704.4110766089583</c:v>
                      </c:pt>
                      <c:pt idx="12">
                        <c:v>382.60635433494883</c:v>
                      </c:pt>
                      <c:pt idx="13">
                        <c:v>1014.2599631450249</c:v>
                      </c:pt>
                      <c:pt idx="14">
                        <c:v>985.69424964936889</c:v>
                      </c:pt>
                      <c:pt idx="15">
                        <c:v>395.39834153132517</c:v>
                      </c:pt>
                      <c:pt idx="16">
                        <c:v>387.4130624931002</c:v>
                      </c:pt>
                      <c:pt idx="17">
                        <c:v>364.17587834891265</c:v>
                      </c:pt>
                      <c:pt idx="18">
                        <c:v>281.57096027767068</c:v>
                      </c:pt>
                      <c:pt idx="19">
                        <c:v>407.69128245998718</c:v>
                      </c:pt>
                      <c:pt idx="20">
                        <c:v>388.47391789206461</c:v>
                      </c:pt>
                      <c:pt idx="21">
                        <c:v>248.44577280114868</c:v>
                      </c:pt>
                      <c:pt idx="22">
                        <c:v>245.27063673896387</c:v>
                      </c:pt>
                      <c:pt idx="23">
                        <c:v>267.09954756699329</c:v>
                      </c:pt>
                      <c:pt idx="24">
                        <c:v>324.73430023149348</c:v>
                      </c:pt>
                      <c:pt idx="25">
                        <c:v>398.48632709749376</c:v>
                      </c:pt>
                      <c:pt idx="26">
                        <c:v>482.20290754824356</c:v>
                      </c:pt>
                      <c:pt idx="27">
                        <c:v>231.55753233807644</c:v>
                      </c:pt>
                      <c:pt idx="28">
                        <c:v>408.46366145354187</c:v>
                      </c:pt>
                      <c:pt idx="29">
                        <c:v>259.06890130353821</c:v>
                      </c:pt>
                      <c:pt idx="30">
                        <c:v>384.98705261351364</c:v>
                      </c:pt>
                      <c:pt idx="31">
                        <c:v>287.65724699772517</c:v>
                      </c:pt>
                      <c:pt idx="32">
                        <c:v>1400.4351729065409</c:v>
                      </c:pt>
                      <c:pt idx="33">
                        <c:v>283.14788261666286</c:v>
                      </c:pt>
                      <c:pt idx="34">
                        <c:v>371.53078595186338</c:v>
                      </c:pt>
                      <c:pt idx="35">
                        <c:v>402.85219937028756</c:v>
                      </c:pt>
                      <c:pt idx="36">
                        <c:v>208.95619422805078</c:v>
                      </c:pt>
                      <c:pt idx="37">
                        <c:v>373.0368682992052</c:v>
                      </c:pt>
                      <c:pt idx="38">
                        <c:v>389.85446136501832</c:v>
                      </c:pt>
                      <c:pt idx="39">
                        <c:v>276.88581081081082</c:v>
                      </c:pt>
                      <c:pt idx="40">
                        <c:v>363.98177657120243</c:v>
                      </c:pt>
                      <c:pt idx="41">
                        <c:v>1068.7291356539076</c:v>
                      </c:pt>
                      <c:pt idx="42">
                        <c:v>371.8029686841416</c:v>
                      </c:pt>
                      <c:pt idx="43">
                        <c:v>415.55262710861052</c:v>
                      </c:pt>
                      <c:pt idx="44">
                        <c:v>395.01954948481028</c:v>
                      </c:pt>
                      <c:pt idx="45">
                        <c:v>289.6468877718379</c:v>
                      </c:pt>
                      <c:pt idx="46">
                        <c:v>453.52286643300533</c:v>
                      </c:pt>
                      <c:pt idx="47">
                        <c:v>384.21145770686195</c:v>
                      </c:pt>
                      <c:pt idx="48">
                        <c:v>378.75641083670774</c:v>
                      </c:pt>
                    </c:numCache>
                  </c:numRef>
                </c:val>
                <c:extLst>
                  <c:ext xmlns:c16="http://schemas.microsoft.com/office/drawing/2014/chart" uri="{C3380CC4-5D6E-409C-BE32-E72D297353CC}">
                    <c16:uniqueId val="{00000001-B203-469C-8552-E3658B80B7C5}"/>
                  </c:ext>
                </c:extLst>
              </c15:ser>
            </c15:filteredBarSeries>
            <c15:filteredBarSeries>
              <c15:ser>
                <c:idx val="1"/>
                <c:order val="1"/>
                <c:tx>
                  <c:v>2018</c:v>
                </c:tx>
                <c:spPr>
                  <a:solidFill>
                    <a:schemeClr val="accent2"/>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xmlns:c15="http://schemas.microsoft.com/office/drawing/2012/chart">
                      <c:ext xmlns:c15="http://schemas.microsoft.com/office/drawing/2012/chart" uri="{02D57815-91ED-43cb-92C2-25804820EDAC}">
                        <c15:formulaRef>
                          <c15:sqref>'Analisi dati, formula corretta'!$BA$4:$BA$52</c15:sqref>
                        </c15:formulaRef>
                      </c:ext>
                    </c:extLst>
                    <c:numCache>
                      <c:formatCode>#,##0.00</c:formatCode>
                      <c:ptCount val="49"/>
                      <c:pt idx="0">
                        <c:v>419.89</c:v>
                      </c:pt>
                      <c:pt idx="1">
                        <c:v>409.58238022968067</c:v>
                      </c:pt>
                      <c:pt idx="2">
                        <c:v>926.72316513761473</c:v>
                      </c:pt>
                      <c:pt idx="3">
                        <c:v>381.0792815113038</c:v>
                      </c:pt>
                      <c:pt idx="4">
                        <c:v>371</c:v>
                      </c:pt>
                      <c:pt idx="5">
                        <c:v>406.27387996618768</c:v>
                      </c:pt>
                      <c:pt idx="6">
                        <c:v>911.67606915377621</c:v>
                      </c:pt>
                      <c:pt idx="7">
                        <c:v>388.20765449918542</c:v>
                      </c:pt>
                      <c:pt idx="8">
                        <c:v>986.56227461858532</c:v>
                      </c:pt>
                      <c:pt idx="9">
                        <c:v>386.67514957901295</c:v>
                      </c:pt>
                      <c:pt idx="10">
                        <c:v>387.01950587966007</c:v>
                      </c:pt>
                      <c:pt idx="11">
                        <c:v>723.44061520934213</c:v>
                      </c:pt>
                      <c:pt idx="12">
                        <c:v>387.13318284424378</c:v>
                      </c:pt>
                      <c:pt idx="13">
                        <c:v>1019.6104139153898</c:v>
                      </c:pt>
                      <c:pt idx="14">
                        <c:v>988.42664998436032</c:v>
                      </c:pt>
                      <c:pt idx="15">
                        <c:v>387.90872892767277</c:v>
                      </c:pt>
                      <c:pt idx="16">
                        <c:v>394.07139945256534</c:v>
                      </c:pt>
                      <c:pt idx="17">
                        <c:v>367.13450773789924</c:v>
                      </c:pt>
                      <c:pt idx="18">
                        <c:v>298.59904118544347</c:v>
                      </c:pt>
                      <c:pt idx="19">
                        <c:v>411.19435185307179</c:v>
                      </c:pt>
                      <c:pt idx="20">
                        <c:v>386.13351422450734</c:v>
                      </c:pt>
                      <c:pt idx="21">
                        <c:v>247.8819510806058</c:v>
                      </c:pt>
                      <c:pt idx="22">
                        <c:v>231.51000417853015</c:v>
                      </c:pt>
                      <c:pt idx="23">
                        <c:v>268.02066743883017</c:v>
                      </c:pt>
                      <c:pt idx="24">
                        <c:v>319.05597837364905</c:v>
                      </c:pt>
                      <c:pt idx="25">
                        <c:v>406.70106208846397</c:v>
                      </c:pt>
                      <c:pt idx="26">
                        <c:v>409.7043808619257</c:v>
                      </c:pt>
                      <c:pt idx="27">
                        <c:v>226.53597176454846</c:v>
                      </c:pt>
                      <c:pt idx="28">
                        <c:v>402.79823269513992</c:v>
                      </c:pt>
                      <c:pt idx="29">
                        <c:v>264.37665769244217</c:v>
                      </c:pt>
                      <c:pt idx="30">
                        <c:v>385.18648408683117</c:v>
                      </c:pt>
                      <c:pt idx="31">
                        <c:v>346.91898585325868</c:v>
                      </c:pt>
                      <c:pt idx="32">
                        <c:v>1365.3490259504147</c:v>
                      </c:pt>
                      <c:pt idx="33">
                        <c:v>284.14168604159806</c:v>
                      </c:pt>
                      <c:pt idx="34">
                        <c:v>384.19213288507154</c:v>
                      </c:pt>
                      <c:pt idx="35">
                        <c:v>401.87925261907333</c:v>
                      </c:pt>
                      <c:pt idx="36">
                        <c:v>236.84385824673595</c:v>
                      </c:pt>
                      <c:pt idx="37">
                        <c:v>381.55689254338745</c:v>
                      </c:pt>
                      <c:pt idx="38">
                        <c:v>389.48996516680569</c:v>
                      </c:pt>
                      <c:pt idx="39">
                        <c:v>275.68735855156808</c:v>
                      </c:pt>
                      <c:pt idx="40">
                        <c:v>366.7633781033324</c:v>
                      </c:pt>
                      <c:pt idx="41">
                        <c:v>1039.507111940613</c:v>
                      </c:pt>
                      <c:pt idx="42">
                        <c:v>374.89580731984796</c:v>
                      </c:pt>
                      <c:pt idx="43">
                        <c:v>399.3525124299793</c:v>
                      </c:pt>
                      <c:pt idx="44">
                        <c:v>391.54343972989676</c:v>
                      </c:pt>
                      <c:pt idx="45">
                        <c:v>279.38215946467051</c:v>
                      </c:pt>
                      <c:pt idx="46">
                        <c:v>430.55219855054116</c:v>
                      </c:pt>
                      <c:pt idx="47">
                        <c:v>377.37046885271144</c:v>
                      </c:pt>
                      <c:pt idx="48">
                        <c:v>379.23259748048815</c:v>
                      </c:pt>
                    </c:numCache>
                  </c:numRef>
                </c:val>
                <c:extLst xmlns:c15="http://schemas.microsoft.com/office/drawing/2012/chart">
                  <c:ext xmlns:c16="http://schemas.microsoft.com/office/drawing/2014/chart" uri="{C3380CC4-5D6E-409C-BE32-E72D297353CC}">
                    <c16:uniqueId val="{00000002-B203-469C-8552-E3658B80B7C5}"/>
                  </c:ext>
                </c:extLst>
              </c15:ser>
            </c15:filteredBarSeries>
            <c15:filteredBarSeries>
              <c15:ser>
                <c:idx val="2"/>
                <c:order val="2"/>
                <c:tx>
                  <c:v>2019</c:v>
                </c:tx>
                <c:spPr>
                  <a:solidFill>
                    <a:schemeClr val="accent3"/>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xmlns:c15="http://schemas.microsoft.com/office/drawing/2012/chart">
                      <c:ext xmlns:c15="http://schemas.microsoft.com/office/drawing/2012/chart" uri="{02D57815-91ED-43cb-92C2-25804820EDAC}">
                        <c15:formulaRef>
                          <c15:sqref>'Analisi dati, formula corretta'!$BB$4:$BB$52</c15:sqref>
                        </c15:formulaRef>
                      </c:ext>
                    </c:extLst>
                    <c:numCache>
                      <c:formatCode>#,##0.00</c:formatCode>
                      <c:ptCount val="49"/>
                      <c:pt idx="0">
                        <c:v>412.3</c:v>
                      </c:pt>
                      <c:pt idx="1">
                        <c:v>401.07605938585249</c:v>
                      </c:pt>
                      <c:pt idx="2">
                        <c:v>1028.8193651518611</c:v>
                      </c:pt>
                      <c:pt idx="3">
                        <c:v>379.55289765721329</c:v>
                      </c:pt>
                      <c:pt idx="4">
                        <c:v>386</c:v>
                      </c:pt>
                      <c:pt idx="5">
                        <c:v>386.94617563739376</c:v>
                      </c:pt>
                      <c:pt idx="6">
                        <c:v>882.47396630934145</c:v>
                      </c:pt>
                      <c:pt idx="7">
                        <c:v>394.73783455947142</c:v>
                      </c:pt>
                      <c:pt idx="8">
                        <c:v>1020.5023279875841</c:v>
                      </c:pt>
                      <c:pt idx="9">
                        <c:v>380.74424039983046</c:v>
                      </c:pt>
                      <c:pt idx="10">
                        <c:v>383.23726878930313</c:v>
                      </c:pt>
                      <c:pt idx="11">
                        <c:v>709.09307591467052</c:v>
                      </c:pt>
                      <c:pt idx="12">
                        <c:v>381.04020656584288</c:v>
                      </c:pt>
                      <c:pt idx="13">
                        <c:v>987.08187448670208</c:v>
                      </c:pt>
                      <c:pt idx="14">
                        <c:v>996.0972680876614</c:v>
                      </c:pt>
                      <c:pt idx="15">
                        <c:v>393.62834457951203</c:v>
                      </c:pt>
                      <c:pt idx="16">
                        <c:v>389.24523644308124</c:v>
                      </c:pt>
                      <c:pt idx="17">
                        <c:v>368.22433797550036</c:v>
                      </c:pt>
                      <c:pt idx="18">
                        <c:v>297.54750469826683</c:v>
                      </c:pt>
                      <c:pt idx="19">
                        <c:v>398.19853122774254</c:v>
                      </c:pt>
                      <c:pt idx="20">
                        <c:v>380.47284319130461</c:v>
                      </c:pt>
                      <c:pt idx="21">
                        <c:v>249.63268453557146</c:v>
                      </c:pt>
                      <c:pt idx="22">
                        <c:v>226.05266724053357</c:v>
                      </c:pt>
                      <c:pt idx="23">
                        <c:v>264.68753154045896</c:v>
                      </c:pt>
                      <c:pt idx="24">
                        <c:v>322.58963699208357</c:v>
                      </c:pt>
                      <c:pt idx="25">
                        <c:v>404.49073150664435</c:v>
                      </c:pt>
                      <c:pt idx="26">
                        <c:v>400.18382994743166</c:v>
                      </c:pt>
                      <c:pt idx="27">
                        <c:v>232.04161869800376</c:v>
                      </c:pt>
                      <c:pt idx="28">
                        <c:v>406.81818181818181</c:v>
                      </c:pt>
                      <c:pt idx="29">
                        <c:v>258.33805613673258</c:v>
                      </c:pt>
                      <c:pt idx="30">
                        <c:v>387.74340771304918</c:v>
                      </c:pt>
                      <c:pt idx="31">
                        <c:v>321.13423141688719</c:v>
                      </c:pt>
                      <c:pt idx="32">
                        <c:v>1315.3005104421818</c:v>
                      </c:pt>
                      <c:pt idx="33">
                        <c:v>281.32675916457544</c:v>
                      </c:pt>
                      <c:pt idx="34">
                        <c:v>384.49821561750724</c:v>
                      </c:pt>
                      <c:pt idx="35">
                        <c:v>398.94266051179977</c:v>
                      </c:pt>
                      <c:pt idx="36">
                        <c:v>178.69415807560139</c:v>
                      </c:pt>
                      <c:pt idx="37">
                        <c:v>0</c:v>
                      </c:pt>
                      <c:pt idx="38">
                        <c:v>393.45100995441476</c:v>
                      </c:pt>
                      <c:pt idx="39">
                        <c:v>284.46931163106137</c:v>
                      </c:pt>
                      <c:pt idx="40">
                        <c:v>366.21602235710282</c:v>
                      </c:pt>
                      <c:pt idx="41">
                        <c:v>1132.3979192318661</c:v>
                      </c:pt>
                      <c:pt idx="42">
                        <c:v>375.04012195179683</c:v>
                      </c:pt>
                      <c:pt idx="43">
                        <c:v>395.57312030931502</c:v>
                      </c:pt>
                      <c:pt idx="44">
                        <c:v>394.14656750474091</c:v>
                      </c:pt>
                      <c:pt idx="45">
                        <c:v>275.96848677570051</c:v>
                      </c:pt>
                      <c:pt idx="46">
                        <c:v>418.63708571875645</c:v>
                      </c:pt>
                      <c:pt idx="47">
                        <c:v>373.10171461386358</c:v>
                      </c:pt>
                      <c:pt idx="48">
                        <c:v>370.52096486727464</c:v>
                      </c:pt>
                    </c:numCache>
                  </c:numRef>
                </c:val>
                <c:extLst xmlns:c15="http://schemas.microsoft.com/office/drawing/2012/chart">
                  <c:ext xmlns:c16="http://schemas.microsoft.com/office/drawing/2014/chart" uri="{C3380CC4-5D6E-409C-BE32-E72D297353CC}">
                    <c16:uniqueId val="{00000003-B203-469C-8552-E3658B80B7C5}"/>
                  </c:ext>
                </c:extLst>
              </c15:ser>
            </c15:filteredBarSeries>
            <c15:filteredBarSeries>
              <c15:ser>
                <c:idx val="4"/>
                <c:order val="4"/>
                <c:spPr>
                  <a:solidFill>
                    <a:schemeClr val="accent5"/>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xmlns:c15="http://schemas.microsoft.com/office/drawing/2012/chart">
                      <c:ext xmlns:c15="http://schemas.microsoft.com/office/drawing/2012/chart" uri="{02D57815-91ED-43cb-92C2-25804820EDAC}">
                        <c15:formulaRef>
                          <c15:sqref>'Analisi dati, formula corretta'!$BA$3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4-B203-469C-8552-E3658B80B7C5}"/>
                  </c:ext>
                </c:extLst>
              </c15:ser>
            </c15:filteredBarSeries>
            <c15:filteredBarSeries>
              <c15:ser>
                <c:idx val="5"/>
                <c:order val="5"/>
                <c:spPr>
                  <a:solidFill>
                    <a:schemeClr val="accent6"/>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xmlns:c15="http://schemas.microsoft.com/office/drawing/2012/chart">
                      <c:ext xmlns:c15="http://schemas.microsoft.com/office/drawing/2012/chart" uri="{02D57815-91ED-43cb-92C2-25804820EDAC}">
                        <c15:formulaRef>
                          <c15:sqref>'Analisi dati, formula corretta'!$BB$3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5-B203-469C-8552-E3658B80B7C5}"/>
                  </c:ext>
                </c:extLst>
              </c15:ser>
            </c15:filteredBarSeries>
          </c:ext>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 generali delle emissioni specifiche delle centrali a carbone (CO</a:t>
            </a:r>
            <a:r>
              <a:rPr lang="it-IT"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pieChart>
        <c:varyColors val="1"/>
        <c:ser>
          <c:idx val="0"/>
          <c:order val="0"/>
          <c:dPt>
            <c:idx val="0"/>
            <c:bubble3D val="0"/>
            <c:spPr>
              <a:solidFill>
                <a:srgbClr val="FF0000"/>
              </a:solidFill>
              <a:ln>
                <a:noFill/>
              </a:ln>
              <a:effectLst/>
            </c:spPr>
            <c:extLst>
              <c:ext xmlns:c16="http://schemas.microsoft.com/office/drawing/2014/chart" uri="{C3380CC4-5D6E-409C-BE32-E72D297353CC}">
                <c16:uniqueId val="{00000001-ACBB-4893-9666-29B79092ED2B}"/>
              </c:ext>
            </c:extLst>
          </c:dPt>
          <c:dPt>
            <c:idx val="1"/>
            <c:bubble3D val="0"/>
            <c:spPr>
              <a:solidFill>
                <a:srgbClr val="92D050"/>
              </a:solidFill>
              <a:ln>
                <a:noFill/>
              </a:ln>
              <a:effectLst/>
            </c:spPr>
            <c:extLst>
              <c:ext xmlns:c16="http://schemas.microsoft.com/office/drawing/2014/chart" uri="{C3380CC4-5D6E-409C-BE32-E72D297353CC}">
                <c16:uniqueId val="{00000003-ACBB-4893-9666-29B79092ED2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'Analisi dati, formula corretta'!$BH$54:$BH$55</c:f>
              <c:strCache>
                <c:ptCount val="2"/>
                <c:pt idx="0">
                  <c:v>Incremento emissioni specifiche</c:v>
                </c:pt>
                <c:pt idx="1">
                  <c:v>Diminuzione emissioni specifiche</c:v>
                </c:pt>
              </c:strCache>
            </c:strRef>
          </c:cat>
          <c:val>
            <c:numRef>
              <c:f>'Analisi dati, formula corretta'!$DF$135:$DF$136</c:f>
              <c:numCache>
                <c:formatCode>General</c:formatCode>
                <c:ptCount val="2"/>
                <c:pt idx="0">
                  <c:v>2</c:v>
                </c:pt>
                <c:pt idx="1">
                  <c:v>5</c:v>
                </c:pt>
              </c:numCache>
            </c:numRef>
          </c:val>
          <c:extLst>
            <c:ext xmlns:c16="http://schemas.microsoft.com/office/drawing/2014/chart" uri="{C3380CC4-5D6E-409C-BE32-E72D297353CC}">
              <c16:uniqueId val="{00000006-ACBB-4893-9666-29B79092ED2B}"/>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specifiche delle centrali a ciclo combinato in % di variazione (CO)</a:t>
            </a:r>
            <a:endParaRPr lang="it-IT"/>
          </a:p>
        </c:rich>
      </c:tx>
      <c:layout>
        <c:manualLayout>
          <c:xMode val="edge"/>
          <c:yMode val="edge"/>
          <c:x val="0.23762250662977055"/>
          <c:y val="1.058201205155078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3"/>
          <c:order val="3"/>
          <c:tx>
            <c:v>Variazioni</c:v>
          </c:tx>
          <c:spPr>
            <a:solidFill>
              <a:schemeClr val="accent4"/>
            </a:solidFill>
            <a:ln>
              <a:noFill/>
            </a:ln>
            <a:effectLst/>
          </c:spPr>
          <c:invertIfNegative val="0"/>
          <c:dLbls>
            <c:dLbl>
              <c:idx val="1"/>
              <c:layout>
                <c:manualLayout>
                  <c:x val="0"/>
                  <c:y val="-2.75735294117647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D16-4546-B0F5-21A78C5651F2}"/>
                </c:ext>
              </c:extLst>
            </c:dLbl>
            <c:dLbl>
              <c:idx val="3"/>
              <c:layout>
                <c:manualLayout>
                  <c:x val="0"/>
                  <c:y val="-1.64083865086599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7E2-44A5-BC96-EF963F8F32C4}"/>
                </c:ext>
              </c:extLst>
            </c:dLbl>
            <c:dLbl>
              <c:idx val="4"/>
              <c:layout>
                <c:manualLayout>
                  <c:x val="-9.8667982239763205E-4"/>
                  <c:y val="-1.82315405651777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7E2-44A5-BC96-EF963F8F32C4}"/>
                </c:ext>
              </c:extLst>
            </c:dLbl>
            <c:dLbl>
              <c:idx val="6"/>
              <c:layout>
                <c:manualLayout>
                  <c:x val="-3.617784222505928E-17"/>
                  <c:y val="-2.37010027347310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7E2-44A5-BC96-EF963F8F32C4}"/>
                </c:ext>
              </c:extLst>
            </c:dLbl>
            <c:dLbl>
              <c:idx val="9"/>
              <c:layout>
                <c:manualLayout>
                  <c:x val="0"/>
                  <c:y val="-2.55241567912487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E2-44A5-BC96-EF963F8F32C4}"/>
                </c:ext>
              </c:extLst>
            </c:dLbl>
            <c:dLbl>
              <c:idx val="10"/>
              <c:layout>
                <c:manualLayout>
                  <c:x val="0"/>
                  <c:y val="-1.2867647058823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D16-4546-B0F5-21A78C5651F2}"/>
                </c:ext>
              </c:extLst>
            </c:dLbl>
            <c:dLbl>
              <c:idx val="13"/>
              <c:layout>
                <c:manualLayout>
                  <c:x val="0"/>
                  <c:y val="-2.46153846153844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E2-44A5-BC96-EF963F8F32C4}"/>
                </c:ext>
              </c:extLst>
            </c:dLbl>
            <c:dLbl>
              <c:idx val="14"/>
              <c:layout>
                <c:manualLayout>
                  <c:x val="-7.2355684450118559E-17"/>
                  <c:y val="-2.18778486782131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41-4B09-9B15-9EE85B6F9F90}"/>
                </c:ext>
              </c:extLst>
            </c:dLbl>
            <c:dLbl>
              <c:idx val="17"/>
              <c:layout>
                <c:manualLayout>
                  <c:x val="0"/>
                  <c:y val="-2.18778486782131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7E2-44A5-BC96-EF963F8F32C4}"/>
                </c:ext>
              </c:extLst>
            </c:dLbl>
            <c:dLbl>
              <c:idx val="18"/>
              <c:layout>
                <c:manualLayout>
                  <c:x val="0"/>
                  <c:y val="-1.64083865086599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7E2-44A5-BC96-EF963F8F32C4}"/>
                </c:ext>
              </c:extLst>
            </c:dLbl>
            <c:dLbl>
              <c:idx val="19"/>
              <c:layout>
                <c:manualLayout>
                  <c:x val="0"/>
                  <c:y val="-1.45852324521422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7E2-44A5-BC96-EF963F8F32C4}"/>
                </c:ext>
              </c:extLst>
            </c:dLbl>
            <c:dLbl>
              <c:idx val="20"/>
              <c:layout>
                <c:manualLayout>
                  <c:x val="0"/>
                  <c:y val="-1.82315405651776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7E2-44A5-BC96-EF963F8F32C4}"/>
                </c:ext>
              </c:extLst>
            </c:dLbl>
            <c:dLbl>
              <c:idx val="21"/>
              <c:layout>
                <c:manualLayout>
                  <c:x val="0"/>
                  <c:y val="-2.18778486782131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D16-4546-B0F5-21A78C5651F2}"/>
                </c:ext>
              </c:extLst>
            </c:dLbl>
            <c:dLbl>
              <c:idx val="22"/>
              <c:layout>
                <c:manualLayout>
                  <c:x val="0"/>
                  <c:y val="-9.19117647058823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7E2-44A5-BC96-EF963F8F32C4}"/>
                </c:ext>
              </c:extLst>
            </c:dLbl>
            <c:dLbl>
              <c:idx val="23"/>
              <c:layout>
                <c:manualLayout>
                  <c:x val="-1.4471136890023712E-16"/>
                  <c:y val="-1.64082429532224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41-4B09-9B15-9EE85B6F9F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numLit>
          </c:cat>
          <c:val>
            <c:numRef>
              <c:f>('Analisi dati, formula corretta'!$DB$4,'Analisi dati, formula corretta'!$DB$7,'Analisi dati, formula corretta'!$DB$9,'Analisi dati, formula corretta'!$DB$11,'Analisi dati, formula corretta'!$DB$13,'Analisi dati, formula corretta'!$DB$14,'Analisi dati, formula corretta'!$DB$15,'Analisi dati, formula corretta'!$DB$16,'Analisi dati, formula corretta'!$DB$19,'Analisi dati, formula corretta'!$DB$20,'Analisi dati, formula corretta'!$DB$21,'Analisi dati, formula corretta'!$DB$23,'Analisi dati, formula corretta'!$DB$24,'Analisi dati, formula corretta'!$DB$29,'Analisi dati, formula corretta'!$DB$30,'Analisi dati, formula corretta'!$DB$32,'Analisi dati, formula corretta'!$DB$34,'Analisi dati, formula corretta'!$DB$38,'Analisi dati, formula corretta'!$DB$39,'Analisi dati, formula corretta'!$DB$41,'Analisi dati, formula corretta'!$DB$42,'Analisi dati, formula corretta'!$DB$46,'Analisi dati, formula corretta'!$DB$48,'Analisi dati, formula corretta'!$DB$51)</c:f>
              <c:numCache>
                <c:formatCode>0.00%</c:formatCode>
                <c:ptCount val="24"/>
                <c:pt idx="0">
                  <c:v>2.1894390243902433</c:v>
                </c:pt>
                <c:pt idx="1">
                  <c:v>-0.43078698962709083</c:v>
                </c:pt>
                <c:pt idx="2">
                  <c:v>2.364188587616356E-2</c:v>
                </c:pt>
                <c:pt idx="3">
                  <c:v>-0.3226810993687983</c:v>
                </c:pt>
                <c:pt idx="4">
                  <c:v>-0.71299173205540045</c:v>
                </c:pt>
                <c:pt idx="5">
                  <c:v>0.20080567888352041</c:v>
                </c:pt>
                <c:pt idx="6">
                  <c:v>-0.28399641149909294</c:v>
                </c:pt>
                <c:pt idx="7">
                  <c:v>0.10221874333067005</c:v>
                </c:pt>
                <c:pt idx="8">
                  <c:v>0.46731495287089109</c:v>
                </c:pt>
                <c:pt idx="9">
                  <c:v>-0.88840758024770861</c:v>
                </c:pt>
                <c:pt idx="10">
                  <c:v>1.2734880647398223</c:v>
                </c:pt>
                <c:pt idx="11">
                  <c:v>0.39109558440877579</c:v>
                </c:pt>
                <c:pt idx="12">
                  <c:v>2.7037719730852983</c:v>
                </c:pt>
                <c:pt idx="13">
                  <c:v>-0.10071582714879734</c:v>
                </c:pt>
                <c:pt idx="14">
                  <c:v>-0.24238929449189761</c:v>
                </c:pt>
                <c:pt idx="15">
                  <c:v>3.5016835016835168E-2</c:v>
                </c:pt>
                <c:pt idx="16">
                  <c:v>1.0178456839037153</c:v>
                </c:pt>
                <c:pt idx="17">
                  <c:v>-0.53257740112698748</c:v>
                </c:pt>
                <c:pt idx="18">
                  <c:v>-0.6087915606798886</c:v>
                </c:pt>
                <c:pt idx="19">
                  <c:v>-3.0837744756173069E-2</c:v>
                </c:pt>
                <c:pt idx="20">
                  <c:v>-0.39334630175252705</c:v>
                </c:pt>
                <c:pt idx="21">
                  <c:v>-0.85254629912772706</c:v>
                </c:pt>
                <c:pt idx="22">
                  <c:v>-0.68842317185546686</c:v>
                </c:pt>
                <c:pt idx="23">
                  <c:v>-0.5770344256970491</c:v>
                </c:pt>
              </c:numCache>
            </c:numRef>
          </c:val>
          <c:extLst xmlns:c15="http://schemas.microsoft.com/office/drawing/2012/chart">
            <c:ext xmlns:c16="http://schemas.microsoft.com/office/drawing/2014/chart" uri="{C3380CC4-5D6E-409C-BE32-E72D297353CC}">
              <c16:uniqueId val="{00000000-D8C6-4C3B-8B5E-B578F7F24711}"/>
            </c:ext>
          </c:extLst>
        </c:ser>
        <c:dLbls>
          <c:showLegendKey val="0"/>
          <c:showVal val="0"/>
          <c:showCatName val="0"/>
          <c:showSerName val="0"/>
          <c:showPercent val="0"/>
          <c:showBubbleSize val="0"/>
        </c:dLbls>
        <c:gapWidth val="219"/>
        <c:overlap val="-27"/>
        <c:axId val="55998191"/>
        <c:axId val="55996943"/>
        <c:extLst>
          <c:ext xmlns:c15="http://schemas.microsoft.com/office/drawing/2012/chart" uri="{02D57815-91ED-43cb-92C2-25804820EDAC}">
            <c15:filteredBarSeries>
              <c15:ser>
                <c:idx val="0"/>
                <c:order val="0"/>
                <c:tx>
                  <c:v>2017</c:v>
                </c:tx>
                <c:spPr>
                  <a:solidFill>
                    <a:schemeClr val="accent1"/>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numLit>
                </c:cat>
                <c:val>
                  <c:numRef>
                    <c:extLst>
                      <c:ext uri="{02D57815-91ED-43cb-92C2-25804820EDAC}">
                        <c15:formulaRef>
                          <c15:sqref>'Analisi dati, formula corretta'!$AZ$4:$AZ$30</c15:sqref>
                        </c15:formulaRef>
                      </c:ext>
                    </c:extLst>
                    <c:numCache>
                      <c:formatCode>#,##0.00</c:formatCode>
                      <c:ptCount val="27"/>
                      <c:pt idx="0">
                        <c:v>368.88</c:v>
                      </c:pt>
                      <c:pt idx="1">
                        <c:v>405.35909752359856</c:v>
                      </c:pt>
                      <c:pt idx="2">
                        <c:v>881.75829941203074</c:v>
                      </c:pt>
                      <c:pt idx="3">
                        <c:v>388.47824696097251</c:v>
                      </c:pt>
                      <c:pt idx="4">
                        <c:v>371</c:v>
                      </c:pt>
                      <c:pt idx="5">
                        <c:v>388.38532110091745</c:v>
                      </c:pt>
                      <c:pt idx="6">
                        <c:v>904.86689132266213</c:v>
                      </c:pt>
                      <c:pt idx="7">
                        <c:v>395.22230272631839</c:v>
                      </c:pt>
                      <c:pt idx="8">
                        <c:v>976.88275862068963</c:v>
                      </c:pt>
                      <c:pt idx="9">
                        <c:v>386.18599926009006</c:v>
                      </c:pt>
                      <c:pt idx="10">
                        <c:v>391.62999138401415</c:v>
                      </c:pt>
                      <c:pt idx="11">
                        <c:v>704.4110766089583</c:v>
                      </c:pt>
                      <c:pt idx="12">
                        <c:v>382.60635433494883</c:v>
                      </c:pt>
                      <c:pt idx="13">
                        <c:v>1014.2599631450249</c:v>
                      </c:pt>
                      <c:pt idx="14">
                        <c:v>985.69424964936889</c:v>
                      </c:pt>
                      <c:pt idx="15">
                        <c:v>395.39834153132517</c:v>
                      </c:pt>
                      <c:pt idx="16">
                        <c:v>387.4130624931002</c:v>
                      </c:pt>
                      <c:pt idx="17">
                        <c:v>364.17587834891265</c:v>
                      </c:pt>
                      <c:pt idx="18">
                        <c:v>281.57096027767068</c:v>
                      </c:pt>
                      <c:pt idx="19">
                        <c:v>407.69128245998718</c:v>
                      </c:pt>
                      <c:pt idx="20">
                        <c:v>388.47391789206461</c:v>
                      </c:pt>
                      <c:pt idx="21">
                        <c:v>248.44577280114868</c:v>
                      </c:pt>
                      <c:pt idx="22">
                        <c:v>245.27063673896387</c:v>
                      </c:pt>
                      <c:pt idx="23">
                        <c:v>267.09954756699329</c:v>
                      </c:pt>
                      <c:pt idx="24">
                        <c:v>324.73430023149348</c:v>
                      </c:pt>
                      <c:pt idx="25">
                        <c:v>398.48632709749376</c:v>
                      </c:pt>
                      <c:pt idx="26">
                        <c:v>482.20290754824356</c:v>
                      </c:pt>
                    </c:numCache>
                  </c:numRef>
                </c:val>
                <c:extLst>
                  <c:ext xmlns:c16="http://schemas.microsoft.com/office/drawing/2014/chart" uri="{C3380CC4-5D6E-409C-BE32-E72D297353CC}">
                    <c16:uniqueId val="{00000001-D8C6-4C3B-8B5E-B578F7F24711}"/>
                  </c:ext>
                </c:extLst>
              </c15:ser>
            </c15:filteredBarSeries>
            <c15:filteredBarSeries>
              <c15:ser>
                <c:idx val="1"/>
                <c:order val="1"/>
                <c:tx>
                  <c:v>2018</c:v>
                </c:tx>
                <c:spPr>
                  <a:solidFill>
                    <a:schemeClr val="accent2"/>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numLit>
                </c:cat>
                <c:val>
                  <c:numRef>
                    <c:extLst xmlns:c15="http://schemas.microsoft.com/office/drawing/2012/chart">
                      <c:ext xmlns:c15="http://schemas.microsoft.com/office/drawing/2012/chart" uri="{02D57815-91ED-43cb-92C2-25804820EDAC}">
                        <c15:formulaRef>
                          <c15:sqref>'Analisi dati, formula corretta'!$BA$4:$BA$30</c15:sqref>
                        </c15:formulaRef>
                      </c:ext>
                    </c:extLst>
                    <c:numCache>
                      <c:formatCode>#,##0.00</c:formatCode>
                      <c:ptCount val="27"/>
                      <c:pt idx="0">
                        <c:v>419.89</c:v>
                      </c:pt>
                      <c:pt idx="1">
                        <c:v>409.58238022968067</c:v>
                      </c:pt>
                      <c:pt idx="2">
                        <c:v>926.72316513761473</c:v>
                      </c:pt>
                      <c:pt idx="3">
                        <c:v>381.0792815113038</c:v>
                      </c:pt>
                      <c:pt idx="4">
                        <c:v>371</c:v>
                      </c:pt>
                      <c:pt idx="5">
                        <c:v>406.27387996618768</c:v>
                      </c:pt>
                      <c:pt idx="6">
                        <c:v>911.67606915377621</c:v>
                      </c:pt>
                      <c:pt idx="7">
                        <c:v>388.20765449918542</c:v>
                      </c:pt>
                      <c:pt idx="8">
                        <c:v>986.56227461858532</c:v>
                      </c:pt>
                      <c:pt idx="9">
                        <c:v>386.67514957901295</c:v>
                      </c:pt>
                      <c:pt idx="10">
                        <c:v>387.01950587966007</c:v>
                      </c:pt>
                      <c:pt idx="11">
                        <c:v>723.44061520934213</c:v>
                      </c:pt>
                      <c:pt idx="12">
                        <c:v>387.13318284424378</c:v>
                      </c:pt>
                      <c:pt idx="13">
                        <c:v>1019.6104139153898</c:v>
                      </c:pt>
                      <c:pt idx="14">
                        <c:v>988.42664998436032</c:v>
                      </c:pt>
                      <c:pt idx="15">
                        <c:v>387.90872892767277</c:v>
                      </c:pt>
                      <c:pt idx="16">
                        <c:v>394.07139945256534</c:v>
                      </c:pt>
                      <c:pt idx="17">
                        <c:v>367.13450773789924</c:v>
                      </c:pt>
                      <c:pt idx="18">
                        <c:v>298.59904118544347</c:v>
                      </c:pt>
                      <c:pt idx="19">
                        <c:v>411.19435185307179</c:v>
                      </c:pt>
                      <c:pt idx="20">
                        <c:v>386.13351422450734</c:v>
                      </c:pt>
                      <c:pt idx="21">
                        <c:v>247.8819510806058</c:v>
                      </c:pt>
                      <c:pt idx="22">
                        <c:v>231.51000417853015</c:v>
                      </c:pt>
                      <c:pt idx="23">
                        <c:v>268.02066743883017</c:v>
                      </c:pt>
                      <c:pt idx="24">
                        <c:v>319.05597837364905</c:v>
                      </c:pt>
                      <c:pt idx="25">
                        <c:v>406.70106208846397</c:v>
                      </c:pt>
                      <c:pt idx="26">
                        <c:v>409.7043808619257</c:v>
                      </c:pt>
                    </c:numCache>
                  </c:numRef>
                </c:val>
                <c:extLst xmlns:c15="http://schemas.microsoft.com/office/drawing/2012/chart">
                  <c:ext xmlns:c16="http://schemas.microsoft.com/office/drawing/2014/chart" uri="{C3380CC4-5D6E-409C-BE32-E72D297353CC}">
                    <c16:uniqueId val="{00000002-D8C6-4C3B-8B5E-B578F7F24711}"/>
                  </c:ext>
                </c:extLst>
              </c15:ser>
            </c15:filteredBarSeries>
            <c15:filteredBarSeries>
              <c15:ser>
                <c:idx val="2"/>
                <c:order val="2"/>
                <c:tx>
                  <c:v>2019</c:v>
                </c:tx>
                <c:spPr>
                  <a:solidFill>
                    <a:schemeClr val="accent3"/>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numLit>
                </c:cat>
                <c:val>
                  <c:numRef>
                    <c:extLst xmlns:c15="http://schemas.microsoft.com/office/drawing/2012/chart">
                      <c:ext xmlns:c15="http://schemas.microsoft.com/office/drawing/2012/chart" uri="{02D57815-91ED-43cb-92C2-25804820EDAC}">
                        <c15:formulaRef>
                          <c15:sqref>'Analisi dati, formula corretta'!$BB$4:$BB$30</c15:sqref>
                        </c15:formulaRef>
                      </c:ext>
                    </c:extLst>
                    <c:numCache>
                      <c:formatCode>#,##0.00</c:formatCode>
                      <c:ptCount val="27"/>
                      <c:pt idx="0">
                        <c:v>412.3</c:v>
                      </c:pt>
                      <c:pt idx="1">
                        <c:v>401.07605938585249</c:v>
                      </c:pt>
                      <c:pt idx="2">
                        <c:v>1028.8193651518611</c:v>
                      </c:pt>
                      <c:pt idx="3">
                        <c:v>379.55289765721329</c:v>
                      </c:pt>
                      <c:pt idx="4">
                        <c:v>386</c:v>
                      </c:pt>
                      <c:pt idx="5">
                        <c:v>386.94617563739376</c:v>
                      </c:pt>
                      <c:pt idx="6">
                        <c:v>882.47396630934145</c:v>
                      </c:pt>
                      <c:pt idx="7">
                        <c:v>394.73783455947142</c:v>
                      </c:pt>
                      <c:pt idx="8">
                        <c:v>1020.5023279875841</c:v>
                      </c:pt>
                      <c:pt idx="9">
                        <c:v>380.74424039983046</c:v>
                      </c:pt>
                      <c:pt idx="10">
                        <c:v>383.23726878930313</c:v>
                      </c:pt>
                      <c:pt idx="11">
                        <c:v>709.09307591467052</c:v>
                      </c:pt>
                      <c:pt idx="12">
                        <c:v>381.04020656584288</c:v>
                      </c:pt>
                      <c:pt idx="13">
                        <c:v>987.08187448670208</c:v>
                      </c:pt>
                      <c:pt idx="14">
                        <c:v>996.0972680876614</c:v>
                      </c:pt>
                      <c:pt idx="15">
                        <c:v>393.62834457951203</c:v>
                      </c:pt>
                      <c:pt idx="16">
                        <c:v>389.24523644308124</c:v>
                      </c:pt>
                      <c:pt idx="17">
                        <c:v>368.22433797550036</c:v>
                      </c:pt>
                      <c:pt idx="18">
                        <c:v>297.54750469826683</c:v>
                      </c:pt>
                      <c:pt idx="19">
                        <c:v>398.19853122774254</c:v>
                      </c:pt>
                      <c:pt idx="20">
                        <c:v>380.47284319130461</c:v>
                      </c:pt>
                      <c:pt idx="21">
                        <c:v>249.63268453557146</c:v>
                      </c:pt>
                      <c:pt idx="22">
                        <c:v>226.05266724053357</c:v>
                      </c:pt>
                      <c:pt idx="23">
                        <c:v>264.68753154045896</c:v>
                      </c:pt>
                      <c:pt idx="24">
                        <c:v>322.58963699208357</c:v>
                      </c:pt>
                      <c:pt idx="25">
                        <c:v>404.49073150664435</c:v>
                      </c:pt>
                      <c:pt idx="26">
                        <c:v>400.18382994743166</c:v>
                      </c:pt>
                    </c:numCache>
                  </c:numRef>
                </c:val>
                <c:extLst xmlns:c15="http://schemas.microsoft.com/office/drawing/2012/chart">
                  <c:ext xmlns:c16="http://schemas.microsoft.com/office/drawing/2014/chart" uri="{C3380CC4-5D6E-409C-BE32-E72D297353CC}">
                    <c16:uniqueId val="{00000003-D8C6-4C3B-8B5E-B578F7F24711}"/>
                  </c:ext>
                </c:extLst>
              </c15:ser>
            </c15:filteredBarSeries>
            <c15:filteredBarSeries>
              <c15:ser>
                <c:idx val="4"/>
                <c:order val="4"/>
                <c:spPr>
                  <a:solidFill>
                    <a:schemeClr val="accent5"/>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numLit>
                </c:cat>
                <c:val>
                  <c:numRef>
                    <c:extLst xmlns:c15="http://schemas.microsoft.com/office/drawing/2012/chart">
                      <c:ext xmlns:c15="http://schemas.microsoft.com/office/drawing/2012/chart" uri="{02D57815-91ED-43cb-92C2-25804820EDAC}">
                        <c15:formulaRef>
                          <c15:sqref>'Analisi dati, formula corretta'!$BA$3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4-D8C6-4C3B-8B5E-B578F7F24711}"/>
                  </c:ext>
                </c:extLst>
              </c15:ser>
            </c15:filteredBarSeries>
            <c15:filteredBarSeries>
              <c15:ser>
                <c:idx val="5"/>
                <c:order val="5"/>
                <c:spPr>
                  <a:solidFill>
                    <a:schemeClr val="accent6"/>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numLit>
                </c:cat>
                <c:val>
                  <c:numRef>
                    <c:extLst xmlns:c15="http://schemas.microsoft.com/office/drawing/2012/chart">
                      <c:ext xmlns:c15="http://schemas.microsoft.com/office/drawing/2012/chart" uri="{02D57815-91ED-43cb-92C2-25804820EDAC}">
                        <c15:formulaRef>
                          <c15:sqref>'Analisi dati, formula corretta'!$BB$3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5-D8C6-4C3B-8B5E-B578F7F24711}"/>
                  </c:ext>
                </c:extLst>
              </c15:ser>
            </c15:filteredBarSeries>
          </c:ext>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 generali delle emissioni specifiche delle centrali a ciclo combinato (CO</a:t>
            </a:r>
            <a:r>
              <a:rPr lang="it-IT"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pieChart>
        <c:varyColors val="1"/>
        <c:ser>
          <c:idx val="0"/>
          <c:order val="0"/>
          <c:dPt>
            <c:idx val="0"/>
            <c:bubble3D val="0"/>
            <c:spPr>
              <a:solidFill>
                <a:srgbClr val="FF0000"/>
              </a:solidFill>
              <a:ln>
                <a:noFill/>
              </a:ln>
              <a:effectLst/>
            </c:spPr>
            <c:extLst>
              <c:ext xmlns:c16="http://schemas.microsoft.com/office/drawing/2014/chart" uri="{C3380CC4-5D6E-409C-BE32-E72D297353CC}">
                <c16:uniqueId val="{00000001-9B38-4150-BCC1-8641CA9F419B}"/>
              </c:ext>
            </c:extLst>
          </c:dPt>
          <c:dPt>
            <c:idx val="1"/>
            <c:bubble3D val="0"/>
            <c:spPr>
              <a:solidFill>
                <a:srgbClr val="92D050"/>
              </a:solidFill>
              <a:ln>
                <a:noFill/>
              </a:ln>
              <a:effectLst/>
            </c:spPr>
            <c:extLst>
              <c:ext xmlns:c16="http://schemas.microsoft.com/office/drawing/2014/chart" uri="{C3380CC4-5D6E-409C-BE32-E72D297353CC}">
                <c16:uniqueId val="{00000003-9B38-4150-BCC1-8641CA9F419B}"/>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'Analisi dati, formula corretta'!$BH$54:$BH$55</c:f>
              <c:strCache>
                <c:ptCount val="2"/>
                <c:pt idx="0">
                  <c:v>Incremento emissioni specifiche</c:v>
                </c:pt>
                <c:pt idx="1">
                  <c:v>Diminuzione emissioni specifiche</c:v>
                </c:pt>
              </c:strCache>
            </c:strRef>
          </c:cat>
          <c:val>
            <c:numRef>
              <c:f>'Analisi dati, formula corretta'!$DF$172:$DF$173</c:f>
              <c:numCache>
                <c:formatCode>General</c:formatCode>
                <c:ptCount val="2"/>
                <c:pt idx="0">
                  <c:v>10</c:v>
                </c:pt>
                <c:pt idx="1">
                  <c:v>14</c:v>
                </c:pt>
              </c:numCache>
            </c:numRef>
          </c:val>
          <c:extLst>
            <c:ext xmlns:c16="http://schemas.microsoft.com/office/drawing/2014/chart" uri="{C3380CC4-5D6E-409C-BE32-E72D297353CC}">
              <c16:uniqueId val="{00000006-9B38-4150-BCC1-8641CA9F419B}"/>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specifiche delle centrali di cogenerazione in % di variazione (CO)</a:t>
            </a:r>
            <a:endParaRPr lang="it-IT"/>
          </a:p>
        </c:rich>
      </c:tx>
      <c:layout>
        <c:manualLayout>
          <c:xMode val="edge"/>
          <c:yMode val="edge"/>
          <c:x val="0.23762250662977055"/>
          <c:y val="1.058201205155078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3"/>
          <c:order val="3"/>
          <c:tx>
            <c:v>Variazioni</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17"/>
              <c:pt idx="0">
                <c:v>2</c:v>
              </c:pt>
              <c:pt idx="1">
                <c:v>19</c:v>
              </c:pt>
              <c:pt idx="2">
                <c:v>22</c:v>
              </c:pt>
              <c:pt idx="3">
                <c:v>23</c:v>
              </c:pt>
              <c:pt idx="4">
                <c:v>24</c:v>
              </c:pt>
              <c:pt idx="5">
                <c:v>25</c:v>
              </c:pt>
              <c:pt idx="6">
                <c:v>28</c:v>
              </c:pt>
              <c:pt idx="7">
                <c:v>30</c:v>
              </c:pt>
              <c:pt idx="8">
                <c:v>32</c:v>
              </c:pt>
              <c:pt idx="9">
                <c:v>34</c:v>
              </c:pt>
              <c:pt idx="10">
                <c:v>37</c:v>
              </c:pt>
              <c:pt idx="11">
                <c:v>40</c:v>
              </c:pt>
              <c:pt idx="12">
                <c:v>41</c:v>
              </c:pt>
              <c:pt idx="13">
                <c:v>44</c:v>
              </c:pt>
              <c:pt idx="14">
                <c:v>46</c:v>
              </c:pt>
              <c:pt idx="15">
                <c:v>47</c:v>
              </c:pt>
              <c:pt idx="16">
                <c:v>49</c:v>
              </c:pt>
            </c:numLit>
          </c:cat>
          <c:val>
            <c:numRef>
              <c:f>('Analisi dati, formula corretta'!$DB$5,'Analisi dati, formula corretta'!$DB$22,'Analisi dati, formula corretta'!$DB$25,'Analisi dati, formula corretta'!$DB$26,'Analisi dati, formula corretta'!$DB$27,'Analisi dati, formula corretta'!$DB$28,'Analisi dati, formula corretta'!$DB$31,'Analisi dati, formula corretta'!$DB$33,'Analisi dati, formula corretta'!$DB$35,'Analisi dati, formula corretta'!$DB$37,'Analisi dati, formula corretta'!$DB$40,'Analisi dati, formula corretta'!$DB$43,'Analisi dati, formula corretta'!$DB$44,'Analisi dati, formula corretta'!$DB$47,'Analisi dati, formula corretta'!$DB$49,'Analisi dati, formula corretta'!$DB$50,'Analisi dati, formula corretta'!$DB$52)</c:f>
              <c:numCache>
                <c:formatCode>0.00%</c:formatCode>
                <c:ptCount val="17"/>
                <c:pt idx="0">
                  <c:v>1.4469690589298434</c:v>
                </c:pt>
                <c:pt idx="1">
                  <c:v>3.0361468245682062</c:v>
                </c:pt>
                <c:pt idx="2">
                  <c:v>-0.4666184011841582</c:v>
                </c:pt>
                <c:pt idx="3">
                  <c:v>0.4314869706125426</c:v>
                </c:pt>
                <c:pt idx="4">
                  <c:v>-0.86945554607430242</c:v>
                </c:pt>
                <c:pt idx="5">
                  <c:v>1.9723011524090741</c:v>
                </c:pt>
                <c:pt idx="6">
                  <c:v>0.5392169754684617</c:v>
                </c:pt>
                <c:pt idx="7">
                  <c:v>-0.37219468438769865</c:v>
                </c:pt>
                <c:pt idx="8">
                  <c:v>-0.28274048820531161</c:v>
                </c:pt>
                <c:pt idx="9">
                  <c:v>-0.77235238465703593</c:v>
                </c:pt>
                <c:pt idx="10">
                  <c:v>0.19257891170586094</c:v>
                </c:pt>
                <c:pt idx="11">
                  <c:v>-0.97817648630063025</c:v>
                </c:pt>
                <c:pt idx="12">
                  <c:v>-0.81385309161436303</c:v>
                </c:pt>
                <c:pt idx="13">
                  <c:v>1.4933330848688975E-2</c:v>
                </c:pt>
                <c:pt idx="14">
                  <c:v>0.35361822278565458</c:v>
                </c:pt>
                <c:pt idx="15">
                  <c:v>-5.1853320510646284E-2</c:v>
                </c:pt>
                <c:pt idx="16">
                  <c:v>-0.52865019233908694</c:v>
                </c:pt>
              </c:numCache>
            </c:numRef>
          </c:val>
          <c:extLst xmlns:c15="http://schemas.microsoft.com/office/drawing/2012/chart">
            <c:ext xmlns:c16="http://schemas.microsoft.com/office/drawing/2014/chart" uri="{C3380CC4-5D6E-409C-BE32-E72D297353CC}">
              <c16:uniqueId val="{00000000-1954-4817-9F45-9281413717C6}"/>
            </c:ext>
          </c:extLst>
        </c:ser>
        <c:dLbls>
          <c:showLegendKey val="0"/>
          <c:showVal val="0"/>
          <c:showCatName val="0"/>
          <c:showSerName val="0"/>
          <c:showPercent val="0"/>
          <c:showBubbleSize val="0"/>
        </c:dLbls>
        <c:gapWidth val="219"/>
        <c:overlap val="-27"/>
        <c:axId val="55998191"/>
        <c:axId val="55996943"/>
        <c:extLst>
          <c:ext xmlns:c15="http://schemas.microsoft.com/office/drawing/2012/chart" uri="{02D57815-91ED-43cb-92C2-25804820EDAC}">
            <c15:filteredBarSeries>
              <c15:ser>
                <c:idx val="0"/>
                <c:order val="0"/>
                <c:tx>
                  <c:v>2017</c:v>
                </c:tx>
                <c:spPr>
                  <a:solidFill>
                    <a:schemeClr val="accent1"/>
                  </a:solidFill>
                  <a:ln>
                    <a:noFill/>
                  </a:ln>
                  <a:effectLst/>
                </c:spPr>
                <c:invertIfNegative val="0"/>
                <c:cat>
                  <c:numLit>
                    <c:formatCode>General</c:formatCode>
                    <c:ptCount val="17"/>
                    <c:pt idx="0">
                      <c:v>2</c:v>
                    </c:pt>
                    <c:pt idx="1">
                      <c:v>19</c:v>
                    </c:pt>
                    <c:pt idx="2">
                      <c:v>22</c:v>
                    </c:pt>
                    <c:pt idx="3">
                      <c:v>23</c:v>
                    </c:pt>
                    <c:pt idx="4">
                      <c:v>24</c:v>
                    </c:pt>
                    <c:pt idx="5">
                      <c:v>25</c:v>
                    </c:pt>
                    <c:pt idx="6">
                      <c:v>28</c:v>
                    </c:pt>
                    <c:pt idx="7">
                      <c:v>30</c:v>
                    </c:pt>
                    <c:pt idx="8">
                      <c:v>32</c:v>
                    </c:pt>
                    <c:pt idx="9">
                      <c:v>34</c:v>
                    </c:pt>
                    <c:pt idx="10">
                      <c:v>37</c:v>
                    </c:pt>
                    <c:pt idx="11">
                      <c:v>40</c:v>
                    </c:pt>
                    <c:pt idx="12">
                      <c:v>41</c:v>
                    </c:pt>
                    <c:pt idx="13">
                      <c:v>44</c:v>
                    </c:pt>
                    <c:pt idx="14">
                      <c:v>46</c:v>
                    </c:pt>
                    <c:pt idx="15">
                      <c:v>47</c:v>
                    </c:pt>
                    <c:pt idx="16">
                      <c:v>49</c:v>
                    </c:pt>
                  </c:numLit>
                </c:cat>
                <c:val>
                  <c:numRef>
                    <c:extLst>
                      <c:ext uri="{02D57815-91ED-43cb-92C2-25804820EDAC}">
                        <c15:formulaRef>
                          <c15:sqref>'Analisi dati, formula corretta'!$AZ$4:$AZ$52</c15:sqref>
                        </c15:formulaRef>
                      </c:ext>
                    </c:extLst>
                    <c:numCache>
                      <c:formatCode>#,##0.00</c:formatCode>
                      <c:ptCount val="49"/>
                      <c:pt idx="0">
                        <c:v>368.88</c:v>
                      </c:pt>
                      <c:pt idx="1">
                        <c:v>405.35909752359856</c:v>
                      </c:pt>
                      <c:pt idx="2">
                        <c:v>881.75829941203074</c:v>
                      </c:pt>
                      <c:pt idx="3">
                        <c:v>388.47824696097251</c:v>
                      </c:pt>
                      <c:pt idx="4">
                        <c:v>371</c:v>
                      </c:pt>
                      <c:pt idx="5">
                        <c:v>388.38532110091745</c:v>
                      </c:pt>
                      <c:pt idx="6">
                        <c:v>904.86689132266213</c:v>
                      </c:pt>
                      <c:pt idx="7">
                        <c:v>395.22230272631839</c:v>
                      </c:pt>
                      <c:pt idx="8">
                        <c:v>976.88275862068963</c:v>
                      </c:pt>
                      <c:pt idx="9">
                        <c:v>386.18599926009006</c:v>
                      </c:pt>
                      <c:pt idx="10">
                        <c:v>391.62999138401415</c:v>
                      </c:pt>
                      <c:pt idx="11">
                        <c:v>704.4110766089583</c:v>
                      </c:pt>
                      <c:pt idx="12">
                        <c:v>382.60635433494883</c:v>
                      </c:pt>
                      <c:pt idx="13">
                        <c:v>1014.2599631450249</c:v>
                      </c:pt>
                      <c:pt idx="14">
                        <c:v>985.69424964936889</c:v>
                      </c:pt>
                      <c:pt idx="15">
                        <c:v>395.39834153132517</c:v>
                      </c:pt>
                      <c:pt idx="16">
                        <c:v>387.4130624931002</c:v>
                      </c:pt>
                      <c:pt idx="17">
                        <c:v>364.17587834891265</c:v>
                      </c:pt>
                      <c:pt idx="18">
                        <c:v>281.57096027767068</c:v>
                      </c:pt>
                      <c:pt idx="19">
                        <c:v>407.69128245998718</c:v>
                      </c:pt>
                      <c:pt idx="20">
                        <c:v>388.47391789206461</c:v>
                      </c:pt>
                      <c:pt idx="21">
                        <c:v>248.44577280114868</c:v>
                      </c:pt>
                      <c:pt idx="22">
                        <c:v>245.27063673896387</c:v>
                      </c:pt>
                      <c:pt idx="23">
                        <c:v>267.09954756699329</c:v>
                      </c:pt>
                      <c:pt idx="24">
                        <c:v>324.73430023149348</c:v>
                      </c:pt>
                      <c:pt idx="25">
                        <c:v>398.48632709749376</c:v>
                      </c:pt>
                      <c:pt idx="26">
                        <c:v>482.20290754824356</c:v>
                      </c:pt>
                      <c:pt idx="27">
                        <c:v>231.55753233807644</c:v>
                      </c:pt>
                      <c:pt idx="28">
                        <c:v>408.46366145354187</c:v>
                      </c:pt>
                      <c:pt idx="29">
                        <c:v>259.06890130353821</c:v>
                      </c:pt>
                      <c:pt idx="30">
                        <c:v>384.98705261351364</c:v>
                      </c:pt>
                      <c:pt idx="31">
                        <c:v>287.65724699772517</c:v>
                      </c:pt>
                      <c:pt idx="32">
                        <c:v>1400.4351729065409</c:v>
                      </c:pt>
                      <c:pt idx="33">
                        <c:v>283.14788261666286</c:v>
                      </c:pt>
                      <c:pt idx="34">
                        <c:v>371.53078595186338</c:v>
                      </c:pt>
                      <c:pt idx="35">
                        <c:v>402.85219937028756</c:v>
                      </c:pt>
                      <c:pt idx="36">
                        <c:v>208.95619422805078</c:v>
                      </c:pt>
                      <c:pt idx="37">
                        <c:v>373.0368682992052</c:v>
                      </c:pt>
                      <c:pt idx="38">
                        <c:v>389.85446136501832</c:v>
                      </c:pt>
                      <c:pt idx="39">
                        <c:v>276.88581081081082</c:v>
                      </c:pt>
                      <c:pt idx="40">
                        <c:v>363.98177657120243</c:v>
                      </c:pt>
                      <c:pt idx="41">
                        <c:v>1068.7291356539076</c:v>
                      </c:pt>
                      <c:pt idx="42">
                        <c:v>371.8029686841416</c:v>
                      </c:pt>
                      <c:pt idx="43">
                        <c:v>415.55262710861052</c:v>
                      </c:pt>
                      <c:pt idx="44">
                        <c:v>395.01954948481028</c:v>
                      </c:pt>
                      <c:pt idx="45">
                        <c:v>289.6468877718379</c:v>
                      </c:pt>
                      <c:pt idx="46">
                        <c:v>453.52286643300533</c:v>
                      </c:pt>
                      <c:pt idx="47">
                        <c:v>384.21145770686195</c:v>
                      </c:pt>
                      <c:pt idx="48">
                        <c:v>378.75641083670774</c:v>
                      </c:pt>
                    </c:numCache>
                  </c:numRef>
                </c:val>
                <c:extLst>
                  <c:ext xmlns:c16="http://schemas.microsoft.com/office/drawing/2014/chart" uri="{C3380CC4-5D6E-409C-BE32-E72D297353CC}">
                    <c16:uniqueId val="{00000001-1954-4817-9F45-9281413717C6}"/>
                  </c:ext>
                </c:extLst>
              </c15:ser>
            </c15:filteredBarSeries>
            <c15:filteredBarSeries>
              <c15:ser>
                <c:idx val="1"/>
                <c:order val="1"/>
                <c:tx>
                  <c:v>2018</c:v>
                </c:tx>
                <c:spPr>
                  <a:solidFill>
                    <a:schemeClr val="accent2"/>
                  </a:solidFill>
                  <a:ln>
                    <a:noFill/>
                  </a:ln>
                  <a:effectLst/>
                </c:spPr>
                <c:invertIfNegative val="0"/>
                <c:cat>
                  <c:numLit>
                    <c:formatCode>General</c:formatCode>
                    <c:ptCount val="17"/>
                    <c:pt idx="0">
                      <c:v>2</c:v>
                    </c:pt>
                    <c:pt idx="1">
                      <c:v>19</c:v>
                    </c:pt>
                    <c:pt idx="2">
                      <c:v>22</c:v>
                    </c:pt>
                    <c:pt idx="3">
                      <c:v>23</c:v>
                    </c:pt>
                    <c:pt idx="4">
                      <c:v>24</c:v>
                    </c:pt>
                    <c:pt idx="5">
                      <c:v>25</c:v>
                    </c:pt>
                    <c:pt idx="6">
                      <c:v>28</c:v>
                    </c:pt>
                    <c:pt idx="7">
                      <c:v>30</c:v>
                    </c:pt>
                    <c:pt idx="8">
                      <c:v>32</c:v>
                    </c:pt>
                    <c:pt idx="9">
                      <c:v>34</c:v>
                    </c:pt>
                    <c:pt idx="10">
                      <c:v>37</c:v>
                    </c:pt>
                    <c:pt idx="11">
                      <c:v>40</c:v>
                    </c:pt>
                    <c:pt idx="12">
                      <c:v>41</c:v>
                    </c:pt>
                    <c:pt idx="13">
                      <c:v>44</c:v>
                    </c:pt>
                    <c:pt idx="14">
                      <c:v>46</c:v>
                    </c:pt>
                    <c:pt idx="15">
                      <c:v>47</c:v>
                    </c:pt>
                    <c:pt idx="16">
                      <c:v>49</c:v>
                    </c:pt>
                  </c:numLit>
                </c:cat>
                <c:val>
                  <c:numRef>
                    <c:extLst xmlns:c15="http://schemas.microsoft.com/office/drawing/2012/chart">
                      <c:ext xmlns:c15="http://schemas.microsoft.com/office/drawing/2012/chart" uri="{02D57815-91ED-43cb-92C2-25804820EDAC}">
                        <c15:formulaRef>
                          <c15:sqref>'Analisi dati, formula corretta'!$BA$4:$BA$52</c15:sqref>
                        </c15:formulaRef>
                      </c:ext>
                    </c:extLst>
                    <c:numCache>
                      <c:formatCode>#,##0.00</c:formatCode>
                      <c:ptCount val="49"/>
                      <c:pt idx="0">
                        <c:v>419.89</c:v>
                      </c:pt>
                      <c:pt idx="1">
                        <c:v>409.58238022968067</c:v>
                      </c:pt>
                      <c:pt idx="2">
                        <c:v>926.72316513761473</c:v>
                      </c:pt>
                      <c:pt idx="3">
                        <c:v>381.0792815113038</c:v>
                      </c:pt>
                      <c:pt idx="4">
                        <c:v>371</c:v>
                      </c:pt>
                      <c:pt idx="5">
                        <c:v>406.27387996618768</c:v>
                      </c:pt>
                      <c:pt idx="6">
                        <c:v>911.67606915377621</c:v>
                      </c:pt>
                      <c:pt idx="7">
                        <c:v>388.20765449918542</c:v>
                      </c:pt>
                      <c:pt idx="8">
                        <c:v>986.56227461858532</c:v>
                      </c:pt>
                      <c:pt idx="9">
                        <c:v>386.67514957901295</c:v>
                      </c:pt>
                      <c:pt idx="10">
                        <c:v>387.01950587966007</c:v>
                      </c:pt>
                      <c:pt idx="11">
                        <c:v>723.44061520934213</c:v>
                      </c:pt>
                      <c:pt idx="12">
                        <c:v>387.13318284424378</c:v>
                      </c:pt>
                      <c:pt idx="13">
                        <c:v>1019.6104139153898</c:v>
                      </c:pt>
                      <c:pt idx="14">
                        <c:v>988.42664998436032</c:v>
                      </c:pt>
                      <c:pt idx="15">
                        <c:v>387.90872892767277</c:v>
                      </c:pt>
                      <c:pt idx="16">
                        <c:v>394.07139945256534</c:v>
                      </c:pt>
                      <c:pt idx="17">
                        <c:v>367.13450773789924</c:v>
                      </c:pt>
                      <c:pt idx="18">
                        <c:v>298.59904118544347</c:v>
                      </c:pt>
                      <c:pt idx="19">
                        <c:v>411.19435185307179</c:v>
                      </c:pt>
                      <c:pt idx="20">
                        <c:v>386.13351422450734</c:v>
                      </c:pt>
                      <c:pt idx="21">
                        <c:v>247.8819510806058</c:v>
                      </c:pt>
                      <c:pt idx="22">
                        <c:v>231.51000417853015</c:v>
                      </c:pt>
                      <c:pt idx="23">
                        <c:v>268.02066743883017</c:v>
                      </c:pt>
                      <c:pt idx="24">
                        <c:v>319.05597837364905</c:v>
                      </c:pt>
                      <c:pt idx="25">
                        <c:v>406.70106208846397</c:v>
                      </c:pt>
                      <c:pt idx="26">
                        <c:v>409.7043808619257</c:v>
                      </c:pt>
                      <c:pt idx="27">
                        <c:v>226.53597176454846</c:v>
                      </c:pt>
                      <c:pt idx="28">
                        <c:v>402.79823269513992</c:v>
                      </c:pt>
                      <c:pt idx="29">
                        <c:v>264.37665769244217</c:v>
                      </c:pt>
                      <c:pt idx="30">
                        <c:v>385.18648408683117</c:v>
                      </c:pt>
                      <c:pt idx="31">
                        <c:v>346.91898585325868</c:v>
                      </c:pt>
                      <c:pt idx="32">
                        <c:v>1365.3490259504147</c:v>
                      </c:pt>
                      <c:pt idx="33">
                        <c:v>284.14168604159806</c:v>
                      </c:pt>
                      <c:pt idx="34">
                        <c:v>384.19213288507154</c:v>
                      </c:pt>
                      <c:pt idx="35">
                        <c:v>401.87925261907333</c:v>
                      </c:pt>
                      <c:pt idx="36">
                        <c:v>236.84385824673595</c:v>
                      </c:pt>
                      <c:pt idx="37">
                        <c:v>381.55689254338745</c:v>
                      </c:pt>
                      <c:pt idx="38">
                        <c:v>389.48996516680569</c:v>
                      </c:pt>
                      <c:pt idx="39">
                        <c:v>275.68735855156808</c:v>
                      </c:pt>
                      <c:pt idx="40">
                        <c:v>366.7633781033324</c:v>
                      </c:pt>
                      <c:pt idx="41">
                        <c:v>1039.507111940613</c:v>
                      </c:pt>
                      <c:pt idx="42">
                        <c:v>374.89580731984796</c:v>
                      </c:pt>
                      <c:pt idx="43">
                        <c:v>399.3525124299793</c:v>
                      </c:pt>
                      <c:pt idx="44">
                        <c:v>391.54343972989676</c:v>
                      </c:pt>
                      <c:pt idx="45">
                        <c:v>279.38215946467051</c:v>
                      </c:pt>
                      <c:pt idx="46">
                        <c:v>430.55219855054116</c:v>
                      </c:pt>
                      <c:pt idx="47">
                        <c:v>377.37046885271144</c:v>
                      </c:pt>
                      <c:pt idx="48">
                        <c:v>379.23259748048815</c:v>
                      </c:pt>
                    </c:numCache>
                  </c:numRef>
                </c:val>
                <c:extLst xmlns:c15="http://schemas.microsoft.com/office/drawing/2012/chart">
                  <c:ext xmlns:c16="http://schemas.microsoft.com/office/drawing/2014/chart" uri="{C3380CC4-5D6E-409C-BE32-E72D297353CC}">
                    <c16:uniqueId val="{00000002-1954-4817-9F45-9281413717C6}"/>
                  </c:ext>
                </c:extLst>
              </c15:ser>
            </c15:filteredBarSeries>
            <c15:filteredBarSeries>
              <c15:ser>
                <c:idx val="2"/>
                <c:order val="2"/>
                <c:tx>
                  <c:v>2019</c:v>
                </c:tx>
                <c:spPr>
                  <a:solidFill>
                    <a:schemeClr val="accent3"/>
                  </a:solidFill>
                  <a:ln>
                    <a:noFill/>
                  </a:ln>
                  <a:effectLst/>
                </c:spPr>
                <c:invertIfNegative val="0"/>
                <c:cat>
                  <c:numLit>
                    <c:formatCode>General</c:formatCode>
                    <c:ptCount val="17"/>
                    <c:pt idx="0">
                      <c:v>2</c:v>
                    </c:pt>
                    <c:pt idx="1">
                      <c:v>19</c:v>
                    </c:pt>
                    <c:pt idx="2">
                      <c:v>22</c:v>
                    </c:pt>
                    <c:pt idx="3">
                      <c:v>23</c:v>
                    </c:pt>
                    <c:pt idx="4">
                      <c:v>24</c:v>
                    </c:pt>
                    <c:pt idx="5">
                      <c:v>25</c:v>
                    </c:pt>
                    <c:pt idx="6">
                      <c:v>28</c:v>
                    </c:pt>
                    <c:pt idx="7">
                      <c:v>30</c:v>
                    </c:pt>
                    <c:pt idx="8">
                      <c:v>32</c:v>
                    </c:pt>
                    <c:pt idx="9">
                      <c:v>34</c:v>
                    </c:pt>
                    <c:pt idx="10">
                      <c:v>37</c:v>
                    </c:pt>
                    <c:pt idx="11">
                      <c:v>40</c:v>
                    </c:pt>
                    <c:pt idx="12">
                      <c:v>41</c:v>
                    </c:pt>
                    <c:pt idx="13">
                      <c:v>44</c:v>
                    </c:pt>
                    <c:pt idx="14">
                      <c:v>46</c:v>
                    </c:pt>
                    <c:pt idx="15">
                      <c:v>47</c:v>
                    </c:pt>
                    <c:pt idx="16">
                      <c:v>49</c:v>
                    </c:pt>
                  </c:numLit>
                </c:cat>
                <c:val>
                  <c:numRef>
                    <c:extLst xmlns:c15="http://schemas.microsoft.com/office/drawing/2012/chart">
                      <c:ext xmlns:c15="http://schemas.microsoft.com/office/drawing/2012/chart" uri="{02D57815-91ED-43cb-92C2-25804820EDAC}">
                        <c15:formulaRef>
                          <c15:sqref>'Analisi dati, formula corretta'!$BB$4:$BB$52</c15:sqref>
                        </c15:formulaRef>
                      </c:ext>
                    </c:extLst>
                    <c:numCache>
                      <c:formatCode>#,##0.00</c:formatCode>
                      <c:ptCount val="49"/>
                      <c:pt idx="0">
                        <c:v>412.3</c:v>
                      </c:pt>
                      <c:pt idx="1">
                        <c:v>401.07605938585249</c:v>
                      </c:pt>
                      <c:pt idx="2">
                        <c:v>1028.8193651518611</c:v>
                      </c:pt>
                      <c:pt idx="3">
                        <c:v>379.55289765721329</c:v>
                      </c:pt>
                      <c:pt idx="4">
                        <c:v>386</c:v>
                      </c:pt>
                      <c:pt idx="5">
                        <c:v>386.94617563739376</c:v>
                      </c:pt>
                      <c:pt idx="6">
                        <c:v>882.47396630934145</c:v>
                      </c:pt>
                      <c:pt idx="7">
                        <c:v>394.73783455947142</c:v>
                      </c:pt>
                      <c:pt idx="8">
                        <c:v>1020.5023279875841</c:v>
                      </c:pt>
                      <c:pt idx="9">
                        <c:v>380.74424039983046</c:v>
                      </c:pt>
                      <c:pt idx="10">
                        <c:v>383.23726878930313</c:v>
                      </c:pt>
                      <c:pt idx="11">
                        <c:v>709.09307591467052</c:v>
                      </c:pt>
                      <c:pt idx="12">
                        <c:v>381.04020656584288</c:v>
                      </c:pt>
                      <c:pt idx="13">
                        <c:v>987.08187448670208</c:v>
                      </c:pt>
                      <c:pt idx="14">
                        <c:v>996.0972680876614</c:v>
                      </c:pt>
                      <c:pt idx="15">
                        <c:v>393.62834457951203</c:v>
                      </c:pt>
                      <c:pt idx="16">
                        <c:v>389.24523644308124</c:v>
                      </c:pt>
                      <c:pt idx="17">
                        <c:v>368.22433797550036</c:v>
                      </c:pt>
                      <c:pt idx="18">
                        <c:v>297.54750469826683</c:v>
                      </c:pt>
                      <c:pt idx="19">
                        <c:v>398.19853122774254</c:v>
                      </c:pt>
                      <c:pt idx="20">
                        <c:v>380.47284319130461</c:v>
                      </c:pt>
                      <c:pt idx="21">
                        <c:v>249.63268453557146</c:v>
                      </c:pt>
                      <c:pt idx="22">
                        <c:v>226.05266724053357</c:v>
                      </c:pt>
                      <c:pt idx="23">
                        <c:v>264.68753154045896</c:v>
                      </c:pt>
                      <c:pt idx="24">
                        <c:v>322.58963699208357</c:v>
                      </c:pt>
                      <c:pt idx="25">
                        <c:v>404.49073150664435</c:v>
                      </c:pt>
                      <c:pt idx="26">
                        <c:v>400.18382994743166</c:v>
                      </c:pt>
                      <c:pt idx="27">
                        <c:v>232.04161869800376</c:v>
                      </c:pt>
                      <c:pt idx="28">
                        <c:v>406.81818181818181</c:v>
                      </c:pt>
                      <c:pt idx="29">
                        <c:v>258.33805613673258</c:v>
                      </c:pt>
                      <c:pt idx="30">
                        <c:v>387.74340771304918</c:v>
                      </c:pt>
                      <c:pt idx="31">
                        <c:v>321.13423141688719</c:v>
                      </c:pt>
                      <c:pt idx="32">
                        <c:v>1315.3005104421818</c:v>
                      </c:pt>
                      <c:pt idx="33">
                        <c:v>281.32675916457544</c:v>
                      </c:pt>
                      <c:pt idx="34">
                        <c:v>384.49821561750724</c:v>
                      </c:pt>
                      <c:pt idx="35">
                        <c:v>398.94266051179977</c:v>
                      </c:pt>
                      <c:pt idx="36">
                        <c:v>178.69415807560139</c:v>
                      </c:pt>
                      <c:pt idx="37">
                        <c:v>0</c:v>
                      </c:pt>
                      <c:pt idx="38">
                        <c:v>393.45100995441476</c:v>
                      </c:pt>
                      <c:pt idx="39">
                        <c:v>284.46931163106137</c:v>
                      </c:pt>
                      <c:pt idx="40">
                        <c:v>366.21602235710282</c:v>
                      </c:pt>
                      <c:pt idx="41">
                        <c:v>1132.3979192318661</c:v>
                      </c:pt>
                      <c:pt idx="42">
                        <c:v>375.04012195179683</c:v>
                      </c:pt>
                      <c:pt idx="43">
                        <c:v>395.57312030931502</c:v>
                      </c:pt>
                      <c:pt idx="44">
                        <c:v>394.14656750474091</c:v>
                      </c:pt>
                      <c:pt idx="45">
                        <c:v>275.96848677570051</c:v>
                      </c:pt>
                      <c:pt idx="46">
                        <c:v>418.63708571875645</c:v>
                      </c:pt>
                      <c:pt idx="47">
                        <c:v>373.10171461386358</c:v>
                      </c:pt>
                      <c:pt idx="48">
                        <c:v>370.52096486727464</c:v>
                      </c:pt>
                    </c:numCache>
                  </c:numRef>
                </c:val>
                <c:extLst xmlns:c15="http://schemas.microsoft.com/office/drawing/2012/chart">
                  <c:ext xmlns:c16="http://schemas.microsoft.com/office/drawing/2014/chart" uri="{C3380CC4-5D6E-409C-BE32-E72D297353CC}">
                    <c16:uniqueId val="{00000003-1954-4817-9F45-9281413717C6}"/>
                  </c:ext>
                </c:extLst>
              </c15:ser>
            </c15:filteredBarSeries>
            <c15:filteredBarSeries>
              <c15:ser>
                <c:idx val="4"/>
                <c:order val="4"/>
                <c:spPr>
                  <a:solidFill>
                    <a:schemeClr val="accent5"/>
                  </a:solidFill>
                  <a:ln>
                    <a:noFill/>
                  </a:ln>
                  <a:effectLst/>
                </c:spPr>
                <c:invertIfNegative val="0"/>
                <c:cat>
                  <c:numLit>
                    <c:formatCode>General</c:formatCode>
                    <c:ptCount val="17"/>
                    <c:pt idx="0">
                      <c:v>2</c:v>
                    </c:pt>
                    <c:pt idx="1">
                      <c:v>19</c:v>
                    </c:pt>
                    <c:pt idx="2">
                      <c:v>22</c:v>
                    </c:pt>
                    <c:pt idx="3">
                      <c:v>23</c:v>
                    </c:pt>
                    <c:pt idx="4">
                      <c:v>24</c:v>
                    </c:pt>
                    <c:pt idx="5">
                      <c:v>25</c:v>
                    </c:pt>
                    <c:pt idx="6">
                      <c:v>28</c:v>
                    </c:pt>
                    <c:pt idx="7">
                      <c:v>30</c:v>
                    </c:pt>
                    <c:pt idx="8">
                      <c:v>32</c:v>
                    </c:pt>
                    <c:pt idx="9">
                      <c:v>34</c:v>
                    </c:pt>
                    <c:pt idx="10">
                      <c:v>37</c:v>
                    </c:pt>
                    <c:pt idx="11">
                      <c:v>40</c:v>
                    </c:pt>
                    <c:pt idx="12">
                      <c:v>41</c:v>
                    </c:pt>
                    <c:pt idx="13">
                      <c:v>44</c:v>
                    </c:pt>
                    <c:pt idx="14">
                      <c:v>46</c:v>
                    </c:pt>
                    <c:pt idx="15">
                      <c:v>47</c:v>
                    </c:pt>
                    <c:pt idx="16">
                      <c:v>49</c:v>
                    </c:pt>
                  </c:numLit>
                </c:cat>
                <c:val>
                  <c:numRef>
                    <c:extLst xmlns:c15="http://schemas.microsoft.com/office/drawing/2012/chart">
                      <c:ext xmlns:c15="http://schemas.microsoft.com/office/drawing/2012/chart" uri="{02D57815-91ED-43cb-92C2-25804820EDAC}">
                        <c15:formulaRef>
                          <c15:sqref>'Analisi dati, formula corretta'!$BA$3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4-1954-4817-9F45-9281413717C6}"/>
                  </c:ext>
                </c:extLst>
              </c15:ser>
            </c15:filteredBarSeries>
            <c15:filteredBarSeries>
              <c15:ser>
                <c:idx val="5"/>
                <c:order val="5"/>
                <c:spPr>
                  <a:solidFill>
                    <a:schemeClr val="accent6"/>
                  </a:solidFill>
                  <a:ln>
                    <a:noFill/>
                  </a:ln>
                  <a:effectLst/>
                </c:spPr>
                <c:invertIfNegative val="0"/>
                <c:cat>
                  <c:numLit>
                    <c:formatCode>General</c:formatCode>
                    <c:ptCount val="17"/>
                    <c:pt idx="0">
                      <c:v>2</c:v>
                    </c:pt>
                    <c:pt idx="1">
                      <c:v>19</c:v>
                    </c:pt>
                    <c:pt idx="2">
                      <c:v>22</c:v>
                    </c:pt>
                    <c:pt idx="3">
                      <c:v>23</c:v>
                    </c:pt>
                    <c:pt idx="4">
                      <c:v>24</c:v>
                    </c:pt>
                    <c:pt idx="5">
                      <c:v>25</c:v>
                    </c:pt>
                    <c:pt idx="6">
                      <c:v>28</c:v>
                    </c:pt>
                    <c:pt idx="7">
                      <c:v>30</c:v>
                    </c:pt>
                    <c:pt idx="8">
                      <c:v>32</c:v>
                    </c:pt>
                    <c:pt idx="9">
                      <c:v>34</c:v>
                    </c:pt>
                    <c:pt idx="10">
                      <c:v>37</c:v>
                    </c:pt>
                    <c:pt idx="11">
                      <c:v>40</c:v>
                    </c:pt>
                    <c:pt idx="12">
                      <c:v>41</c:v>
                    </c:pt>
                    <c:pt idx="13">
                      <c:v>44</c:v>
                    </c:pt>
                    <c:pt idx="14">
                      <c:v>46</c:v>
                    </c:pt>
                    <c:pt idx="15">
                      <c:v>47</c:v>
                    </c:pt>
                    <c:pt idx="16">
                      <c:v>49</c:v>
                    </c:pt>
                  </c:numLit>
                </c:cat>
                <c:val>
                  <c:numRef>
                    <c:extLst xmlns:c15="http://schemas.microsoft.com/office/drawing/2012/chart">
                      <c:ext xmlns:c15="http://schemas.microsoft.com/office/drawing/2012/chart" uri="{02D57815-91ED-43cb-92C2-25804820EDAC}">
                        <c15:formulaRef>
                          <c15:sqref>'Analisi dati, formula corretta'!$BB$3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5-1954-4817-9F45-9281413717C6}"/>
                  </c:ext>
                </c:extLst>
              </c15:ser>
            </c15:filteredBarSeries>
          </c:ext>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specifiche delle centrali a carbone (CO</a:t>
            </a:r>
            <a:r>
              <a:rPr lang="it-IT" baseline="-25000"/>
              <a:t>2</a:t>
            </a:r>
            <a:r>
              <a:rPr lang="it-IT" baseline="0"/>
              <a:t>)</a:t>
            </a:r>
            <a:endParaRPr lang="it-IT"/>
          </a:p>
        </c:rich>
      </c:tx>
      <c:layout>
        <c:manualLayout>
          <c:xMode val="edge"/>
          <c:yMode val="edge"/>
          <c:x val="0.38480771881303405"/>
          <c:y val="1.846955182833773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6"/>
          <c:order val="0"/>
          <c:tx>
            <c:v>2011</c:v>
          </c:tx>
          <c:spPr>
            <a:solidFill>
              <a:schemeClr val="accent1">
                <a:lumMod val="60000"/>
              </a:schemeClr>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corretta'!$AT$4:$AT$52</c15:sqref>
                  </c15:fullRef>
                </c:ext>
              </c:extLst>
              <c:f>('Analisi dati, formula corretta'!$AT$6,'Analisi dati, formula corretta'!$AT$10,'Analisi dati, formula corretta'!$AT$12,'Analisi dati, formula corretta'!$AT$17:$AT$18,'Analisi dati, formula corretta'!$AT$36,'Analisi dati, formula corretta'!$AT$45)</c:f>
              <c:numCache>
                <c:formatCode>#,##0.00</c:formatCode>
                <c:ptCount val="7"/>
                <c:pt idx="0">
                  <c:v>839.93210388329931</c:v>
                </c:pt>
                <c:pt idx="1">
                  <c:v>928.90060240963851</c:v>
                </c:pt>
                <c:pt idx="2">
                  <c:v>835</c:v>
                </c:pt>
                <c:pt idx="3">
                  <c:v>909.03009014553072</c:v>
                </c:pt>
                <c:pt idx="4">
                  <c:v>961.04536489151872</c:v>
                </c:pt>
                <c:pt idx="5">
                  <c:v>1321.5660318913515</c:v>
                </c:pt>
                <c:pt idx="6">
                  <c:v>950.17923208796742</c:v>
                </c:pt>
              </c:numCache>
            </c:numRef>
          </c:val>
          <c:extLst>
            <c:ext xmlns:c16="http://schemas.microsoft.com/office/drawing/2014/chart" uri="{C3380CC4-5D6E-409C-BE32-E72D297353CC}">
              <c16:uniqueId val="{00000002-527E-40A2-8C48-D287D9EAC1E9}"/>
            </c:ext>
          </c:extLst>
        </c:ser>
        <c:ser>
          <c:idx val="0"/>
          <c:order val="1"/>
          <c:tx>
            <c:v>2012</c:v>
          </c:tx>
          <c:spPr>
            <a:solidFill>
              <a:schemeClr val="accent1"/>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corretta'!$AU$4:$AU$52</c15:sqref>
                  </c15:fullRef>
                </c:ext>
              </c:extLst>
              <c:f>('Analisi dati, formula corretta'!$AU$6,'Analisi dati, formula corretta'!$AU$10,'Analisi dati, formula corretta'!$AU$12,'Analisi dati, formula corretta'!$AU$17:$AU$18,'Analisi dati, formula corretta'!$AU$36,'Analisi dati, formula corretta'!$AU$45)</c:f>
              <c:numCache>
                <c:formatCode>#,##0.00</c:formatCode>
                <c:ptCount val="7"/>
                <c:pt idx="0">
                  <c:v>835.7660535647351</c:v>
                </c:pt>
                <c:pt idx="1">
                  <c:v>956.51640926640925</c:v>
                </c:pt>
                <c:pt idx="2">
                  <c:v>827</c:v>
                </c:pt>
                <c:pt idx="3">
                  <c:v>933.67073251514137</c:v>
                </c:pt>
                <c:pt idx="4">
                  <c:v>945.70374275171321</c:v>
                </c:pt>
                <c:pt idx="5">
                  <c:v>1549.0756119898792</c:v>
                </c:pt>
                <c:pt idx="6">
                  <c:v>938.41831292098254</c:v>
                </c:pt>
              </c:numCache>
            </c:numRef>
          </c:val>
          <c:extLst>
            <c:ext xmlns:c16="http://schemas.microsoft.com/office/drawing/2014/chart" uri="{C3380CC4-5D6E-409C-BE32-E72D297353CC}">
              <c16:uniqueId val="{00000003-527E-40A2-8C48-D287D9EAC1E9}"/>
            </c:ext>
          </c:extLst>
        </c:ser>
        <c:ser>
          <c:idx val="1"/>
          <c:order val="2"/>
          <c:tx>
            <c:v>2013</c:v>
          </c:tx>
          <c:spPr>
            <a:solidFill>
              <a:schemeClr val="accent2"/>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corretta'!$AV$4:$AV$52</c15:sqref>
                  </c15:fullRef>
                </c:ext>
              </c:extLst>
              <c:f>('Analisi dati, formula corretta'!$AV$6,'Analisi dati, formula corretta'!$AV$10,'Analisi dati, formula corretta'!$AV$12,'Analisi dati, formula corretta'!$AV$17:$AV$18,'Analisi dati, formula corretta'!$AV$36,'Analisi dati, formula corretta'!$AV$45)</c:f>
              <c:numCache>
                <c:formatCode>#,##0.00</c:formatCode>
                <c:ptCount val="7"/>
                <c:pt idx="0">
                  <c:v>866.27597310290628</c:v>
                </c:pt>
                <c:pt idx="1">
                  <c:v>935.61089238845148</c:v>
                </c:pt>
                <c:pt idx="2">
                  <c:v>842</c:v>
                </c:pt>
                <c:pt idx="3">
                  <c:v>993.18166468688287</c:v>
                </c:pt>
                <c:pt idx="4">
                  <c:v>1006.0676105171916</c:v>
                </c:pt>
                <c:pt idx="5">
                  <c:v>1563.7449528193529</c:v>
                </c:pt>
                <c:pt idx="6">
                  <c:v>981.7408728717329</c:v>
                </c:pt>
              </c:numCache>
            </c:numRef>
          </c:val>
          <c:extLst>
            <c:ext xmlns:c16="http://schemas.microsoft.com/office/drawing/2014/chart" uri="{C3380CC4-5D6E-409C-BE32-E72D297353CC}">
              <c16:uniqueId val="{00000004-527E-40A2-8C48-D287D9EAC1E9}"/>
            </c:ext>
          </c:extLst>
        </c:ser>
        <c:ser>
          <c:idx val="2"/>
          <c:order val="3"/>
          <c:tx>
            <c:v>2014</c:v>
          </c:tx>
          <c:spPr>
            <a:solidFill>
              <a:schemeClr val="accent3"/>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corretta'!$AW$4:$AW$52</c15:sqref>
                  </c15:fullRef>
                </c:ext>
              </c:extLst>
              <c:f>('Analisi dati, formula corretta'!$AW$6,'Analisi dati, formula corretta'!$AW$10,'Analisi dati, formula corretta'!$AW$12,'Analisi dati, formula corretta'!$AW$17:$AW$18,'Analisi dati, formula corretta'!$AW$36,'Analisi dati, formula corretta'!$AW$45)</c:f>
              <c:numCache>
                <c:formatCode>#,##0.00</c:formatCode>
                <c:ptCount val="7"/>
                <c:pt idx="0">
                  <c:v>875.56926759240332</c:v>
                </c:pt>
                <c:pt idx="1">
                  <c:v>1009.8106617647059</c:v>
                </c:pt>
                <c:pt idx="2">
                  <c:v>858</c:v>
                </c:pt>
                <c:pt idx="3">
                  <c:v>972.7509396288882</c:v>
                </c:pt>
                <c:pt idx="4">
                  <c:v>1000.6277463904582</c:v>
                </c:pt>
                <c:pt idx="5">
                  <c:v>1597.2827826358759</c:v>
                </c:pt>
                <c:pt idx="6">
                  <c:v>969.15835317616973</c:v>
                </c:pt>
              </c:numCache>
            </c:numRef>
          </c:val>
          <c:extLst>
            <c:ext xmlns:c16="http://schemas.microsoft.com/office/drawing/2014/chart" uri="{C3380CC4-5D6E-409C-BE32-E72D297353CC}">
              <c16:uniqueId val="{00000005-527E-40A2-8C48-D287D9EAC1E9}"/>
            </c:ext>
          </c:extLst>
        </c:ser>
        <c:ser>
          <c:idx val="3"/>
          <c:order val="4"/>
          <c:tx>
            <c:v>2015</c:v>
          </c:tx>
          <c:spPr>
            <a:solidFill>
              <a:schemeClr val="accent4"/>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corretta'!$AX$4:$AX$52</c15:sqref>
                  </c15:fullRef>
                </c:ext>
              </c:extLst>
              <c:f>('Analisi dati, formula corretta'!$AX$6,'Analisi dati, formula corretta'!$AX$10,'Analisi dati, formula corretta'!$AX$12,'Analisi dati, formula corretta'!$AX$17:$AX$18,'Analisi dati, formula corretta'!$AX$36,'Analisi dati, formula corretta'!$AX$45)</c:f>
              <c:numCache>
                <c:formatCode>#,##0.00</c:formatCode>
                <c:ptCount val="7"/>
                <c:pt idx="0">
                  <c:v>894.48107130312383</c:v>
                </c:pt>
                <c:pt idx="1">
                  <c:v>1014.0391542678152</c:v>
                </c:pt>
                <c:pt idx="2">
                  <c:v>850</c:v>
                </c:pt>
                <c:pt idx="3">
                  <c:v>1002.0528681800685</c:v>
                </c:pt>
                <c:pt idx="4">
                  <c:v>1037.5485541648684</c:v>
                </c:pt>
                <c:pt idx="5">
                  <c:v>1574.9458981787498</c:v>
                </c:pt>
                <c:pt idx="6">
                  <c:v>988.21527432622122</c:v>
                </c:pt>
              </c:numCache>
            </c:numRef>
          </c:val>
          <c:extLst>
            <c:ext xmlns:c16="http://schemas.microsoft.com/office/drawing/2014/chart" uri="{C3380CC4-5D6E-409C-BE32-E72D297353CC}">
              <c16:uniqueId val="{00000006-527E-40A2-8C48-D287D9EAC1E9}"/>
            </c:ext>
          </c:extLst>
        </c:ser>
        <c:ser>
          <c:idx val="4"/>
          <c:order val="5"/>
          <c:tx>
            <c:v>2016</c:v>
          </c:tx>
          <c:spPr>
            <a:solidFill>
              <a:schemeClr val="accent5"/>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corretta'!$AY$4:$AY$52</c15:sqref>
                  </c15:fullRef>
                </c:ext>
              </c:extLst>
              <c:f>('Analisi dati, formula corretta'!$AY$6,'Analisi dati, formula corretta'!$AY$10,'Analisi dati, formula corretta'!$AY$12,'Analisi dati, formula corretta'!$AY$17:$AY$18,'Analisi dati, formula corretta'!$AY$36,'Analisi dati, formula corretta'!$AY$45)</c:f>
              <c:numCache>
                <c:formatCode>#,##0.00</c:formatCode>
                <c:ptCount val="7"/>
                <c:pt idx="0">
                  <c:v>889.5640398392452</c:v>
                </c:pt>
                <c:pt idx="1">
                  <c:v>1099.6456310679612</c:v>
                </c:pt>
                <c:pt idx="2">
                  <c:v>883</c:v>
                </c:pt>
                <c:pt idx="3">
                  <c:v>1008.4917123451584</c:v>
                </c:pt>
                <c:pt idx="4">
                  <c:v>1033.0073349633251</c:v>
                </c:pt>
                <c:pt idx="5">
                  <c:v>1592.5085344482693</c:v>
                </c:pt>
                <c:pt idx="6">
                  <c:v>1018.8212452616015</c:v>
                </c:pt>
              </c:numCache>
            </c:numRef>
          </c:val>
          <c:extLst>
            <c:ext xmlns:c16="http://schemas.microsoft.com/office/drawing/2014/chart" uri="{C3380CC4-5D6E-409C-BE32-E72D297353CC}">
              <c16:uniqueId val="{00000007-527E-40A2-8C48-D287D9EAC1E9}"/>
            </c:ext>
          </c:extLst>
        </c:ser>
        <c:ser>
          <c:idx val="5"/>
          <c:order val="6"/>
          <c:tx>
            <c:v>2017</c:v>
          </c:tx>
          <c:spPr>
            <a:solidFill>
              <a:schemeClr val="accent6"/>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corretta'!$AZ$4:$AZ$52</c15:sqref>
                  </c15:fullRef>
                </c:ext>
              </c:extLst>
              <c:f>('Analisi dati, formula corretta'!$AZ$6,'Analisi dati, formula corretta'!$AZ$10,'Analisi dati, formula corretta'!$AZ$12,'Analisi dati, formula corretta'!$AZ$17:$AZ$18,'Analisi dati, formula corretta'!$AZ$36,'Analisi dati, formula corretta'!$AZ$45)</c:f>
              <c:numCache>
                <c:formatCode>#,##0.00</c:formatCode>
                <c:ptCount val="7"/>
                <c:pt idx="0">
                  <c:v>881.75829941203074</c:v>
                </c:pt>
                <c:pt idx="1">
                  <c:v>904.86689132266213</c:v>
                </c:pt>
                <c:pt idx="2">
                  <c:v>976.88275862068963</c:v>
                </c:pt>
                <c:pt idx="3">
                  <c:v>1014.2599631450249</c:v>
                </c:pt>
                <c:pt idx="4">
                  <c:v>985.69424964936889</c:v>
                </c:pt>
                <c:pt idx="5">
                  <c:v>1400.4351729065409</c:v>
                </c:pt>
                <c:pt idx="6">
                  <c:v>1068.7291356539076</c:v>
                </c:pt>
              </c:numCache>
            </c:numRef>
          </c:val>
          <c:extLst>
            <c:ext xmlns:c16="http://schemas.microsoft.com/office/drawing/2014/chart" uri="{C3380CC4-5D6E-409C-BE32-E72D297353CC}">
              <c16:uniqueId val="{00000008-527E-40A2-8C48-D287D9EAC1E9}"/>
            </c:ext>
          </c:extLst>
        </c:ser>
        <c:ser>
          <c:idx val="7"/>
          <c:order val="7"/>
          <c:tx>
            <c:v>2018</c:v>
          </c:tx>
          <c:spPr>
            <a:solidFill>
              <a:schemeClr val="accent2">
                <a:lumMod val="60000"/>
              </a:schemeClr>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corretta'!$BA$4:$BA$52</c15:sqref>
                  </c15:fullRef>
                </c:ext>
              </c:extLst>
              <c:f>('Analisi dati, formula corretta'!$BA$6,'Analisi dati, formula corretta'!$BA$10,'Analisi dati, formula corretta'!$BA$12,'Analisi dati, formula corretta'!$BA$17:$BA$18,'Analisi dati, formula corretta'!$BA$36,'Analisi dati, formula corretta'!$BA$45)</c:f>
              <c:numCache>
                <c:formatCode>#,##0.00</c:formatCode>
                <c:ptCount val="7"/>
                <c:pt idx="0">
                  <c:v>926.72316513761473</c:v>
                </c:pt>
                <c:pt idx="1">
                  <c:v>911.67606915377621</c:v>
                </c:pt>
                <c:pt idx="2">
                  <c:v>986.56227461858532</c:v>
                </c:pt>
                <c:pt idx="3">
                  <c:v>1019.6104139153898</c:v>
                </c:pt>
                <c:pt idx="4">
                  <c:v>988.42664998436032</c:v>
                </c:pt>
                <c:pt idx="5">
                  <c:v>1365.3490259504147</c:v>
                </c:pt>
                <c:pt idx="6">
                  <c:v>1039.507111940613</c:v>
                </c:pt>
              </c:numCache>
            </c:numRef>
          </c:val>
          <c:extLst>
            <c:ext xmlns:c16="http://schemas.microsoft.com/office/drawing/2014/chart" uri="{C3380CC4-5D6E-409C-BE32-E72D297353CC}">
              <c16:uniqueId val="{00000009-527E-40A2-8C48-D287D9EAC1E9}"/>
            </c:ext>
          </c:extLst>
        </c:ser>
        <c:ser>
          <c:idx val="8"/>
          <c:order val="8"/>
          <c:tx>
            <c:v>2019</c:v>
          </c:tx>
          <c:spPr>
            <a:solidFill>
              <a:schemeClr val="accent3">
                <a:lumMod val="60000"/>
              </a:schemeClr>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corretta'!$BB$4:$BB$52</c15:sqref>
                  </c15:fullRef>
                </c:ext>
              </c:extLst>
              <c:f>('Analisi dati, formula corretta'!$BB$6,'Analisi dati, formula corretta'!$BB$10,'Analisi dati, formula corretta'!$BB$12,'Analisi dati, formula corretta'!$BB$17:$BB$18,'Analisi dati, formula corretta'!$BB$36,'Analisi dati, formula corretta'!$BB$45)</c:f>
              <c:numCache>
                <c:formatCode>#,##0.00</c:formatCode>
                <c:ptCount val="7"/>
                <c:pt idx="0">
                  <c:v>1028.8193651518611</c:v>
                </c:pt>
                <c:pt idx="1">
                  <c:v>882.47396630934145</c:v>
                </c:pt>
                <c:pt idx="2">
                  <c:v>1020.5023279875841</c:v>
                </c:pt>
                <c:pt idx="3">
                  <c:v>987.08187448670208</c:v>
                </c:pt>
                <c:pt idx="4">
                  <c:v>996.0972680876614</c:v>
                </c:pt>
                <c:pt idx="5">
                  <c:v>1315.3005104421818</c:v>
                </c:pt>
                <c:pt idx="6">
                  <c:v>1132.3979192318661</c:v>
                </c:pt>
              </c:numCache>
            </c:numRef>
          </c:val>
          <c:extLst>
            <c:ext xmlns:c16="http://schemas.microsoft.com/office/drawing/2014/chart" uri="{C3380CC4-5D6E-409C-BE32-E72D297353CC}">
              <c16:uniqueId val="{0000000A-527E-40A2-8C48-D287D9EAC1E9}"/>
            </c:ext>
          </c:extLst>
        </c:ser>
        <c:dLbls>
          <c:showLegendKey val="0"/>
          <c:showVal val="0"/>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 generali delle emissioni specifiche delle centrali di cogenerazione</a:t>
            </a:r>
            <a:r>
              <a:rPr lang="it-IT" baseline="0"/>
              <a:t> </a:t>
            </a:r>
            <a:r>
              <a:rPr lang="it-IT"/>
              <a:t>(CO</a:t>
            </a:r>
            <a:r>
              <a:rPr lang="it-IT"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pieChart>
        <c:varyColors val="1"/>
        <c:ser>
          <c:idx val="0"/>
          <c:order val="0"/>
          <c:dPt>
            <c:idx val="0"/>
            <c:bubble3D val="0"/>
            <c:spPr>
              <a:solidFill>
                <a:srgbClr val="FF0000"/>
              </a:solidFill>
              <a:ln>
                <a:noFill/>
              </a:ln>
              <a:effectLst/>
            </c:spPr>
            <c:extLst>
              <c:ext xmlns:c16="http://schemas.microsoft.com/office/drawing/2014/chart" uri="{C3380CC4-5D6E-409C-BE32-E72D297353CC}">
                <c16:uniqueId val="{00000001-1148-4ECA-8425-352224FB3222}"/>
              </c:ext>
            </c:extLst>
          </c:dPt>
          <c:dPt>
            <c:idx val="1"/>
            <c:bubble3D val="0"/>
            <c:spPr>
              <a:solidFill>
                <a:srgbClr val="92D050"/>
              </a:solidFill>
              <a:ln>
                <a:noFill/>
              </a:ln>
              <a:effectLst/>
            </c:spPr>
            <c:extLst>
              <c:ext xmlns:c16="http://schemas.microsoft.com/office/drawing/2014/chart" uri="{C3380CC4-5D6E-409C-BE32-E72D297353CC}">
                <c16:uniqueId val="{00000003-1148-4ECA-8425-352224FB322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'Analisi dati, formula corretta'!$BH$54:$BH$55</c:f>
              <c:strCache>
                <c:ptCount val="2"/>
                <c:pt idx="0">
                  <c:v>Incremento emissioni specifiche</c:v>
                </c:pt>
                <c:pt idx="1">
                  <c:v>Diminuzione emissioni specifiche</c:v>
                </c:pt>
              </c:strCache>
            </c:strRef>
          </c:cat>
          <c:val>
            <c:numRef>
              <c:f>'Analisi dati, formula corretta'!$DF$210:$DF$211</c:f>
              <c:numCache>
                <c:formatCode>General</c:formatCode>
                <c:ptCount val="2"/>
                <c:pt idx="0">
                  <c:v>8</c:v>
                </c:pt>
                <c:pt idx="1">
                  <c:v>9</c:v>
                </c:pt>
              </c:numCache>
            </c:numRef>
          </c:val>
          <c:extLst>
            <c:ext xmlns:c16="http://schemas.microsoft.com/office/drawing/2014/chart" uri="{C3380CC4-5D6E-409C-BE32-E72D297353CC}">
              <c16:uniqueId val="{00000006-1148-4ECA-8425-352224FB3222}"/>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 generali delle emissioni specifiche (SOx</a:t>
            </a:r>
            <a:r>
              <a:rPr lang="it-IT"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pieChart>
        <c:varyColors val="1"/>
        <c:ser>
          <c:idx val="0"/>
          <c:order val="0"/>
          <c:dPt>
            <c:idx val="0"/>
            <c:bubble3D val="0"/>
            <c:spPr>
              <a:solidFill>
                <a:srgbClr val="FF0000"/>
              </a:solidFill>
              <a:ln>
                <a:noFill/>
              </a:ln>
              <a:effectLst/>
            </c:spPr>
            <c:extLst>
              <c:ext xmlns:c16="http://schemas.microsoft.com/office/drawing/2014/chart" uri="{C3380CC4-5D6E-409C-BE32-E72D297353CC}">
                <c16:uniqueId val="{00000001-C804-42A0-9445-43A2AE351A04}"/>
              </c:ext>
            </c:extLst>
          </c:dPt>
          <c:dPt>
            <c:idx val="1"/>
            <c:bubble3D val="0"/>
            <c:spPr>
              <a:solidFill>
                <a:srgbClr val="92D050"/>
              </a:solidFill>
              <a:ln>
                <a:noFill/>
              </a:ln>
              <a:effectLst/>
            </c:spPr>
            <c:extLst>
              <c:ext xmlns:c16="http://schemas.microsoft.com/office/drawing/2014/chart" uri="{C3380CC4-5D6E-409C-BE32-E72D297353CC}">
                <c16:uniqueId val="{00000003-C804-42A0-9445-43A2AE351A0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'Analisi dati, formula corretta'!$BH$54:$BH$55</c:f>
              <c:strCache>
                <c:ptCount val="2"/>
                <c:pt idx="0">
                  <c:v>Incremento emissioni specifiche</c:v>
                </c:pt>
                <c:pt idx="1">
                  <c:v>Diminuzione emissioni specifiche</c:v>
                </c:pt>
              </c:strCache>
            </c:strRef>
          </c:cat>
          <c:val>
            <c:numRef>
              <c:f>'Analisi dati, formula corretta'!$DY$54:$DY$55</c:f>
              <c:numCache>
                <c:formatCode>General</c:formatCode>
                <c:ptCount val="2"/>
                <c:pt idx="0">
                  <c:v>3</c:v>
                </c:pt>
                <c:pt idx="1">
                  <c:v>11</c:v>
                </c:pt>
              </c:numCache>
            </c:numRef>
          </c:val>
          <c:extLst>
            <c:ext xmlns:c16="http://schemas.microsoft.com/office/drawing/2014/chart" uri="{C3380CC4-5D6E-409C-BE32-E72D297353CC}">
              <c16:uniqueId val="{00000006-C804-42A0-9445-43A2AE351A04}"/>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delle centrali a carbone (SOx)</a:t>
            </a:r>
          </a:p>
        </c:rich>
      </c:tx>
      <c:layout>
        <c:manualLayout>
          <c:xMode val="edge"/>
          <c:yMode val="edge"/>
          <c:x val="0.31873984686825391"/>
          <c:y val="1.27165354330708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1"/>
          <c:order val="0"/>
          <c:tx>
            <c:v>2011</c:v>
          </c:tx>
          <c:spPr>
            <a:solidFill>
              <a:schemeClr val="accent2"/>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corretta'!$DM$4:$DM$52</c15:sqref>
                  </c15:fullRef>
                </c:ext>
              </c:extLst>
              <c:f>('Analisi dati, formula corretta'!$DM$6,'Analisi dati, formula corretta'!$DM$10,'Analisi dati, formula corretta'!$DM$12,'Analisi dati, formula corretta'!$DM$17:$DM$18,'Analisi dati, formula corretta'!$DM$36,'Analisi dati, formula corretta'!$DM$45)</c:f>
              <c:numCache>
                <c:formatCode>#,##0.00000</c:formatCode>
                <c:ptCount val="7"/>
                <c:pt idx="0">
                  <c:v>0.16306099618892322</c:v>
                </c:pt>
                <c:pt idx="1">
                  <c:v>1.0903614457831325</c:v>
                </c:pt>
                <c:pt idx="2">
                  <c:v>0.38</c:v>
                </c:pt>
                <c:pt idx="3">
                  <c:v>0.98096859986534535</c:v>
                </c:pt>
                <c:pt idx="4">
                  <c:v>0.79339250493096647</c:v>
                </c:pt>
                <c:pt idx="5">
                  <c:v>0.25531367086292933</c:v>
                </c:pt>
                <c:pt idx="6">
                  <c:v>0.60264338920847926</c:v>
                </c:pt>
              </c:numCache>
            </c:numRef>
          </c:val>
          <c:extLst>
            <c:ext xmlns:c16="http://schemas.microsoft.com/office/drawing/2014/chart" uri="{C3380CC4-5D6E-409C-BE32-E72D297353CC}">
              <c16:uniqueId val="{00000001-5425-4EDB-935E-0EE3C0A8DA5D}"/>
            </c:ext>
          </c:extLst>
        </c:ser>
        <c:ser>
          <c:idx val="0"/>
          <c:order val="1"/>
          <c:tx>
            <c:v>2012</c:v>
          </c:tx>
          <c:spPr>
            <a:solidFill>
              <a:schemeClr val="accent1"/>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corretta'!$DN$4:$DN$52</c15:sqref>
                  </c15:fullRef>
                </c:ext>
              </c:extLst>
              <c:f>('Analisi dati, formula corretta'!$DN$6,'Analisi dati, formula corretta'!$DN$10,'Analisi dati, formula corretta'!$DN$12,'Analisi dati, formula corretta'!$DN$17:$DN$18,'Analisi dati, formula corretta'!$DN$36,'Analisi dati, formula corretta'!$DN$45)</c:f>
              <c:numCache>
                <c:formatCode>#,##0.00000</c:formatCode>
                <c:ptCount val="7"/>
                <c:pt idx="0">
                  <c:v>0.16440981925020143</c:v>
                </c:pt>
                <c:pt idx="1">
                  <c:v>1.6467181467181466</c:v>
                </c:pt>
                <c:pt idx="2">
                  <c:v>0.39</c:v>
                </c:pt>
                <c:pt idx="3">
                  <c:v>1.0286930013806828</c:v>
                </c:pt>
                <c:pt idx="4">
                  <c:v>0.9826041117554033</c:v>
                </c:pt>
                <c:pt idx="5">
                  <c:v>0.40171165717183321</c:v>
                </c:pt>
                <c:pt idx="6">
                  <c:v>0.58634173029174763</c:v>
                </c:pt>
              </c:numCache>
            </c:numRef>
          </c:val>
          <c:extLst>
            <c:ext xmlns:c16="http://schemas.microsoft.com/office/drawing/2014/chart" uri="{C3380CC4-5D6E-409C-BE32-E72D297353CC}">
              <c16:uniqueId val="{00000002-5425-4EDB-935E-0EE3C0A8DA5D}"/>
            </c:ext>
          </c:extLst>
        </c:ser>
        <c:ser>
          <c:idx val="2"/>
          <c:order val="2"/>
          <c:tx>
            <c:v>2013</c:v>
          </c:tx>
          <c:spPr>
            <a:solidFill>
              <a:schemeClr val="accent3"/>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corretta'!$DO$4:$DO$52</c15:sqref>
                  </c15:fullRef>
                </c:ext>
              </c:extLst>
              <c:f>('Analisi dati, formula corretta'!$DO$6,'Analisi dati, formula corretta'!$DO$10,'Analisi dati, formula corretta'!$DO$12,'Analisi dati, formula corretta'!$DO$17:$DO$18,'Analisi dati, formula corretta'!$DO$36,'Analisi dati, formula corretta'!$DO$45)</c:f>
              <c:numCache>
                <c:formatCode>#,##0.00000</c:formatCode>
                <c:ptCount val="7"/>
                <c:pt idx="0">
                  <c:v>0.14143989374550653</c:v>
                </c:pt>
                <c:pt idx="1">
                  <c:v>1.3549868766404201</c:v>
                </c:pt>
                <c:pt idx="2">
                  <c:v>0.4349137931034483</c:v>
                </c:pt>
                <c:pt idx="3">
                  <c:v>0.96804139138403433</c:v>
                </c:pt>
                <c:pt idx="4">
                  <c:v>0.95203698353077149</c:v>
                </c:pt>
                <c:pt idx="5">
                  <c:v>0.28952262727288791</c:v>
                </c:pt>
                <c:pt idx="6">
                  <c:v>0.46222323686097494</c:v>
                </c:pt>
              </c:numCache>
            </c:numRef>
          </c:val>
          <c:extLst>
            <c:ext xmlns:c16="http://schemas.microsoft.com/office/drawing/2014/chart" uri="{C3380CC4-5D6E-409C-BE32-E72D297353CC}">
              <c16:uniqueId val="{00000003-5425-4EDB-935E-0EE3C0A8DA5D}"/>
            </c:ext>
          </c:extLst>
        </c:ser>
        <c:ser>
          <c:idx val="3"/>
          <c:order val="3"/>
          <c:tx>
            <c:v>2014</c:v>
          </c:tx>
          <c:spPr>
            <a:solidFill>
              <a:schemeClr val="accent4"/>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corretta'!$DP$4:$DP$52</c15:sqref>
                  </c15:fullRef>
                </c:ext>
              </c:extLst>
              <c:f>('Analisi dati, formula corretta'!$DP$6,'Analisi dati, formula corretta'!$DP$10,'Analisi dati, formula corretta'!$DP$12,'Analisi dati, formula corretta'!$DP$17:$DP$18,'Analisi dati, formula corretta'!$DP$36,'Analisi dati, formula corretta'!$DP$45)</c:f>
              <c:numCache>
                <c:formatCode>#,##0.00000</c:formatCode>
                <c:ptCount val="7"/>
                <c:pt idx="0">
                  <c:v>0.16285745543505409</c:v>
                </c:pt>
                <c:pt idx="1">
                  <c:v>1.0808823529411764</c:v>
                </c:pt>
                <c:pt idx="2">
                  <c:v>0.35</c:v>
                </c:pt>
                <c:pt idx="3">
                  <c:v>0.744323733283759</c:v>
                </c:pt>
                <c:pt idx="4">
                  <c:v>0.91713747645951038</c:v>
                </c:pt>
                <c:pt idx="5">
                  <c:v>0.36539243992188564</c:v>
                </c:pt>
                <c:pt idx="6">
                  <c:v>0.43192500150113361</c:v>
                </c:pt>
              </c:numCache>
            </c:numRef>
          </c:val>
          <c:extLst>
            <c:ext xmlns:c16="http://schemas.microsoft.com/office/drawing/2014/chart" uri="{C3380CC4-5D6E-409C-BE32-E72D297353CC}">
              <c16:uniqueId val="{00000004-5425-4EDB-935E-0EE3C0A8DA5D}"/>
            </c:ext>
          </c:extLst>
        </c:ser>
        <c:ser>
          <c:idx val="4"/>
          <c:order val="4"/>
          <c:tx>
            <c:v>2015</c:v>
          </c:tx>
          <c:spPr>
            <a:solidFill>
              <a:schemeClr val="accent5"/>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corretta'!$DQ$4:$DQ$52</c15:sqref>
                  </c15:fullRef>
                </c:ext>
              </c:extLst>
              <c:f>('Analisi dati, formula corretta'!$DQ$6,'Analisi dati, formula corretta'!$DQ$10,'Analisi dati, formula corretta'!$DQ$12,'Analisi dati, formula corretta'!$DQ$17:$DQ$18,'Analisi dati, formula corretta'!$DQ$36,'Analisi dati, formula corretta'!$DQ$45)</c:f>
              <c:numCache>
                <c:formatCode>#,##0.00000</c:formatCode>
                <c:ptCount val="7"/>
                <c:pt idx="0">
                  <c:v>0.16187986597713455</c:v>
                </c:pt>
                <c:pt idx="1">
                  <c:v>1.1080657791699295</c:v>
                </c:pt>
                <c:pt idx="2">
                  <c:v>0.37</c:v>
                </c:pt>
                <c:pt idx="3">
                  <c:v>0.55505377849991477</c:v>
                </c:pt>
                <c:pt idx="4">
                  <c:v>0.81959430297798874</c:v>
                </c:pt>
                <c:pt idx="5">
                  <c:v>0.34882192280216784</c:v>
                </c:pt>
                <c:pt idx="6">
                  <c:v>0.41405992118116924</c:v>
                </c:pt>
              </c:numCache>
            </c:numRef>
          </c:val>
          <c:extLst>
            <c:ext xmlns:c16="http://schemas.microsoft.com/office/drawing/2014/chart" uri="{C3380CC4-5D6E-409C-BE32-E72D297353CC}">
              <c16:uniqueId val="{00000005-5425-4EDB-935E-0EE3C0A8DA5D}"/>
            </c:ext>
          </c:extLst>
        </c:ser>
        <c:ser>
          <c:idx val="5"/>
          <c:order val="5"/>
          <c:tx>
            <c:v>2016</c:v>
          </c:tx>
          <c:spPr>
            <a:solidFill>
              <a:schemeClr val="accent6"/>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corretta'!$DR$4:$DR$52</c15:sqref>
                  </c15:fullRef>
                </c:ext>
              </c:extLst>
              <c:f>('Analisi dati, formula corretta'!$DR$6,'Analisi dati, formula corretta'!$DR$10,'Analisi dati, formula corretta'!$DR$12,'Analisi dati, formula corretta'!$DR$17:$DR$18,'Analisi dati, formula corretta'!$DR$36,'Analisi dati, formula corretta'!$DR$45)</c:f>
              <c:numCache>
                <c:formatCode>#,##0.00000</c:formatCode>
                <c:ptCount val="7"/>
                <c:pt idx="0">
                  <c:v>0.18224707321334965</c:v>
                </c:pt>
                <c:pt idx="1">
                  <c:v>0.6472491909385113</c:v>
                </c:pt>
                <c:pt idx="2">
                  <c:v>0.42575530319262911</c:v>
                </c:pt>
                <c:pt idx="3">
                  <c:v>0.43624858975966085</c:v>
                </c:pt>
                <c:pt idx="4">
                  <c:v>0.55419722901385493</c:v>
                </c:pt>
                <c:pt idx="5">
                  <c:v>0.36927964982413419</c:v>
                </c:pt>
                <c:pt idx="6">
                  <c:v>0.351986526266025</c:v>
                </c:pt>
              </c:numCache>
            </c:numRef>
          </c:val>
          <c:extLst>
            <c:ext xmlns:c16="http://schemas.microsoft.com/office/drawing/2014/chart" uri="{C3380CC4-5D6E-409C-BE32-E72D297353CC}">
              <c16:uniqueId val="{00000006-5425-4EDB-935E-0EE3C0A8DA5D}"/>
            </c:ext>
          </c:extLst>
        </c:ser>
        <c:ser>
          <c:idx val="6"/>
          <c:order val="6"/>
          <c:tx>
            <c:v>2017</c:v>
          </c:tx>
          <c:spPr>
            <a:solidFill>
              <a:schemeClr val="accent1">
                <a:lumMod val="60000"/>
              </a:schemeClr>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corretta'!$DS$4:$DS$52</c15:sqref>
                  </c15:fullRef>
                </c:ext>
              </c:extLst>
              <c:f>('Analisi dati, formula corretta'!$DS$6,'Analisi dati, formula corretta'!$DS$10,'Analisi dati, formula corretta'!$DS$12,'Analisi dati, formula corretta'!$DS$17:$DS$18,'Analisi dati, formula corretta'!$DS$36,'Analisi dati, formula corretta'!$DS$45)</c:f>
              <c:numCache>
                <c:formatCode>#,##0.00000</c:formatCode>
                <c:ptCount val="7"/>
                <c:pt idx="0">
                  <c:v>0.17087290818634102</c:v>
                </c:pt>
                <c:pt idx="1">
                  <c:v>0.40775063184498739</c:v>
                </c:pt>
                <c:pt idx="2">
                  <c:v>0.27453580901856767</c:v>
                </c:pt>
                <c:pt idx="3">
                  <c:v>0.4368368991609719</c:v>
                </c:pt>
                <c:pt idx="4">
                  <c:v>0.49509116409537168</c:v>
                </c:pt>
                <c:pt idx="5">
                  <c:v>0.27482972873564515</c:v>
                </c:pt>
                <c:pt idx="6">
                  <c:v>0.27043208323177709</c:v>
                </c:pt>
              </c:numCache>
            </c:numRef>
          </c:val>
          <c:extLst>
            <c:ext xmlns:c16="http://schemas.microsoft.com/office/drawing/2014/chart" uri="{C3380CC4-5D6E-409C-BE32-E72D297353CC}">
              <c16:uniqueId val="{00000007-5425-4EDB-935E-0EE3C0A8DA5D}"/>
            </c:ext>
          </c:extLst>
        </c:ser>
        <c:ser>
          <c:idx val="7"/>
          <c:order val="7"/>
          <c:tx>
            <c:v>2018</c:v>
          </c:tx>
          <c:spPr>
            <a:solidFill>
              <a:schemeClr val="accent2">
                <a:lumMod val="60000"/>
              </a:schemeClr>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corretta'!$DT$4:$DT$52</c15:sqref>
                  </c15:fullRef>
                </c:ext>
              </c:extLst>
              <c:f>('Analisi dati, formula corretta'!$DT$6,'Analisi dati, formula corretta'!$DT$10,'Analisi dati, formula corretta'!$DT$12,'Analisi dati, formula corretta'!$DT$17:$DT$18,'Analisi dati, formula corretta'!$DT$36,'Analisi dati, formula corretta'!$DT$45)</c:f>
              <c:numCache>
                <c:formatCode>#,##0.00000</c:formatCode>
                <c:ptCount val="7"/>
                <c:pt idx="0">
                  <c:v>0.20458715596330276</c:v>
                </c:pt>
                <c:pt idx="1">
                  <c:v>0.59599636032757053</c:v>
                </c:pt>
                <c:pt idx="2">
                  <c:v>0.26990291262135924</c:v>
                </c:pt>
                <c:pt idx="3">
                  <c:v>0.50382068424452797</c:v>
                </c:pt>
                <c:pt idx="4">
                  <c:v>0.43791054113231154</c:v>
                </c:pt>
                <c:pt idx="5">
                  <c:v>0.33088887660681093</c:v>
                </c:pt>
                <c:pt idx="6">
                  <c:v>0.28696005675432235</c:v>
                </c:pt>
              </c:numCache>
            </c:numRef>
          </c:val>
          <c:extLst>
            <c:ext xmlns:c16="http://schemas.microsoft.com/office/drawing/2014/chart" uri="{C3380CC4-5D6E-409C-BE32-E72D297353CC}">
              <c16:uniqueId val="{00000008-5425-4EDB-935E-0EE3C0A8DA5D}"/>
            </c:ext>
          </c:extLst>
        </c:ser>
        <c:ser>
          <c:idx val="8"/>
          <c:order val="8"/>
          <c:tx>
            <c:v>2019</c:v>
          </c:tx>
          <c:spPr>
            <a:solidFill>
              <a:schemeClr val="accent3">
                <a:lumMod val="60000"/>
              </a:schemeClr>
            </a:solidFill>
            <a:ln>
              <a:noFill/>
            </a:ln>
            <a:effectLst/>
          </c:spPr>
          <c:invertIfNegative val="0"/>
          <c:cat>
            <c:strLit>
              <c:ptCount val="7"/>
              <c:pt idx="0">
                <c:v>3</c:v>
              </c:pt>
              <c:pt idx="1">
                <c:v>7</c:v>
              </c:pt>
              <c:pt idx="2">
                <c:v>9</c:v>
              </c:pt>
              <c:pt idx="3">
                <c:v>14</c:v>
              </c:pt>
              <c:pt idx="4">
                <c:v>15</c:v>
              </c:pt>
              <c:pt idx="5">
                <c:v>33</c:v>
              </c:pt>
              <c:pt idx="6">
                <c:v>42</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corretta'!$DU$4:$DU$52</c15:sqref>
                  </c15:fullRef>
                </c:ext>
              </c:extLst>
              <c:f>('Analisi dati, formula corretta'!$DU$6,'Analisi dati, formula corretta'!$DU$10,'Analisi dati, formula corretta'!$DU$12,'Analisi dati, formula corretta'!$DU$17:$DU$18,'Analisi dati, formula corretta'!$DU$36,'Analisi dati, formula corretta'!$DU$45)</c:f>
              <c:numCache>
                <c:formatCode>#,##0.00000</c:formatCode>
                <c:ptCount val="7"/>
                <c:pt idx="0">
                  <c:v>0.20392783740580042</c:v>
                </c:pt>
                <c:pt idx="1">
                  <c:v>0.62710566615620211</c:v>
                </c:pt>
                <c:pt idx="2">
                  <c:v>0.3316088980858769</c:v>
                </c:pt>
                <c:pt idx="3">
                  <c:v>0.56069110736493699</c:v>
                </c:pt>
                <c:pt idx="4">
                  <c:v>0.53857700390273189</c:v>
                </c:pt>
                <c:pt idx="5">
                  <c:v>0.29390927138066025</c:v>
                </c:pt>
                <c:pt idx="6">
                  <c:v>0.2390118461021834</c:v>
                </c:pt>
              </c:numCache>
            </c:numRef>
          </c:val>
          <c:extLst>
            <c:ext xmlns:c16="http://schemas.microsoft.com/office/drawing/2014/chart" uri="{C3380CC4-5D6E-409C-BE32-E72D297353CC}">
              <c16:uniqueId val="{00000009-5425-4EDB-935E-0EE3C0A8DA5D}"/>
            </c:ext>
          </c:extLst>
        </c:ser>
        <c:dLbls>
          <c:showLegendKey val="0"/>
          <c:showVal val="0"/>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specifiche delle centrali a carbone in % di variazione (SOx)</a:t>
            </a:r>
            <a:endParaRPr lang="it-IT"/>
          </a:p>
        </c:rich>
      </c:tx>
      <c:layout>
        <c:manualLayout>
          <c:xMode val="edge"/>
          <c:yMode val="edge"/>
          <c:x val="0.23762250662977055"/>
          <c:y val="1.058201205155078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3"/>
          <c:order val="3"/>
          <c:tx>
            <c:v>Variazioni</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7"/>
              <c:pt idx="0">
                <c:v>3</c:v>
              </c:pt>
              <c:pt idx="1">
                <c:v>7</c:v>
              </c:pt>
              <c:pt idx="2">
                <c:v>9</c:v>
              </c:pt>
              <c:pt idx="3">
                <c:v>14</c:v>
              </c:pt>
              <c:pt idx="4">
                <c:v>15</c:v>
              </c:pt>
              <c:pt idx="5">
                <c:v>33</c:v>
              </c:pt>
              <c:pt idx="6">
                <c:v>42</c:v>
              </c:pt>
            </c:numLit>
          </c:cat>
          <c:val>
            <c:numRef>
              <c:f>('Analisi dati, formula corretta'!$DY$6,'Analisi dati, formula corretta'!$DY$10,'Analisi dati, formula corretta'!$DY$12,'Analisi dati, formula corretta'!$DY$17,'Analisi dati, formula corretta'!$DY$18,'Analisi dati, formula corretta'!$DY$36,'Analisi dati, formula corretta'!$DY$45)</c:f>
              <c:numCache>
                <c:formatCode>0.000%</c:formatCode>
                <c:ptCount val="7"/>
                <c:pt idx="0">
                  <c:v>0.25062303169992095</c:v>
                </c:pt>
                <c:pt idx="1">
                  <c:v>-0.42486441667442243</c:v>
                </c:pt>
                <c:pt idx="2">
                  <c:v>-0.12734500503716606</c:v>
                </c:pt>
                <c:pt idx="3">
                  <c:v>-0.42843113689683709</c:v>
                </c:pt>
                <c:pt idx="4">
                  <c:v>-0.32117205474534471</c:v>
                </c:pt>
                <c:pt idx="5">
                  <c:v>0.15116934548503602</c:v>
                </c:pt>
                <c:pt idx="6">
                  <c:v>-0.60339422885546767</c:v>
                </c:pt>
              </c:numCache>
            </c:numRef>
          </c:val>
          <c:extLst xmlns:c15="http://schemas.microsoft.com/office/drawing/2012/chart">
            <c:ext xmlns:c16="http://schemas.microsoft.com/office/drawing/2014/chart" uri="{C3380CC4-5D6E-409C-BE32-E72D297353CC}">
              <c16:uniqueId val="{00000000-FC0F-4C72-BC2C-2386D4931D56}"/>
            </c:ext>
          </c:extLst>
        </c:ser>
        <c:dLbls>
          <c:showLegendKey val="0"/>
          <c:showVal val="0"/>
          <c:showCatName val="0"/>
          <c:showSerName val="0"/>
          <c:showPercent val="0"/>
          <c:showBubbleSize val="0"/>
        </c:dLbls>
        <c:gapWidth val="219"/>
        <c:overlap val="-27"/>
        <c:axId val="55998191"/>
        <c:axId val="55996943"/>
        <c:extLst>
          <c:ext xmlns:c15="http://schemas.microsoft.com/office/drawing/2012/chart" uri="{02D57815-91ED-43cb-92C2-25804820EDAC}">
            <c15:filteredBarSeries>
              <c15:ser>
                <c:idx val="0"/>
                <c:order val="0"/>
                <c:tx>
                  <c:v>2017</c:v>
                </c:tx>
                <c:spPr>
                  <a:solidFill>
                    <a:schemeClr val="accent1"/>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c:ext uri="{02D57815-91ED-43cb-92C2-25804820EDAC}">
                        <c15:formulaRef>
                          <c15:sqref>'Analisi dati, formula corretta'!$AZ$4:$AZ$52</c15:sqref>
                        </c15:formulaRef>
                      </c:ext>
                    </c:extLst>
                    <c:numCache>
                      <c:formatCode>#,##0.00</c:formatCode>
                      <c:ptCount val="49"/>
                      <c:pt idx="0">
                        <c:v>368.88</c:v>
                      </c:pt>
                      <c:pt idx="1">
                        <c:v>405.35909752359856</c:v>
                      </c:pt>
                      <c:pt idx="2">
                        <c:v>881.75829941203074</c:v>
                      </c:pt>
                      <c:pt idx="3">
                        <c:v>388.47824696097251</c:v>
                      </c:pt>
                      <c:pt idx="4">
                        <c:v>371</c:v>
                      </c:pt>
                      <c:pt idx="5">
                        <c:v>388.38532110091745</c:v>
                      </c:pt>
                      <c:pt idx="6">
                        <c:v>904.86689132266213</c:v>
                      </c:pt>
                      <c:pt idx="7">
                        <c:v>395.22230272631839</c:v>
                      </c:pt>
                      <c:pt idx="8">
                        <c:v>976.88275862068963</c:v>
                      </c:pt>
                      <c:pt idx="9">
                        <c:v>386.18599926009006</c:v>
                      </c:pt>
                      <c:pt idx="10">
                        <c:v>391.62999138401415</c:v>
                      </c:pt>
                      <c:pt idx="11">
                        <c:v>704.4110766089583</c:v>
                      </c:pt>
                      <c:pt idx="12">
                        <c:v>382.60635433494883</c:v>
                      </c:pt>
                      <c:pt idx="13">
                        <c:v>1014.2599631450249</c:v>
                      </c:pt>
                      <c:pt idx="14">
                        <c:v>985.69424964936889</c:v>
                      </c:pt>
                      <c:pt idx="15">
                        <c:v>395.39834153132517</c:v>
                      </c:pt>
                      <c:pt idx="16">
                        <c:v>387.4130624931002</c:v>
                      </c:pt>
                      <c:pt idx="17">
                        <c:v>364.17587834891265</c:v>
                      </c:pt>
                      <c:pt idx="18">
                        <c:v>281.57096027767068</c:v>
                      </c:pt>
                      <c:pt idx="19">
                        <c:v>407.69128245998718</c:v>
                      </c:pt>
                      <c:pt idx="20">
                        <c:v>388.47391789206461</c:v>
                      </c:pt>
                      <c:pt idx="21">
                        <c:v>248.44577280114868</c:v>
                      </c:pt>
                      <c:pt idx="22">
                        <c:v>245.27063673896387</c:v>
                      </c:pt>
                      <c:pt idx="23">
                        <c:v>267.09954756699329</c:v>
                      </c:pt>
                      <c:pt idx="24">
                        <c:v>324.73430023149348</c:v>
                      </c:pt>
                      <c:pt idx="25">
                        <c:v>398.48632709749376</c:v>
                      </c:pt>
                      <c:pt idx="26">
                        <c:v>482.20290754824356</c:v>
                      </c:pt>
                      <c:pt idx="27">
                        <c:v>231.55753233807644</c:v>
                      </c:pt>
                      <c:pt idx="28">
                        <c:v>408.46366145354187</c:v>
                      </c:pt>
                      <c:pt idx="29">
                        <c:v>259.06890130353821</c:v>
                      </c:pt>
                      <c:pt idx="30">
                        <c:v>384.98705261351364</c:v>
                      </c:pt>
                      <c:pt idx="31">
                        <c:v>287.65724699772517</c:v>
                      </c:pt>
                      <c:pt idx="32">
                        <c:v>1400.4351729065409</c:v>
                      </c:pt>
                      <c:pt idx="33">
                        <c:v>283.14788261666286</c:v>
                      </c:pt>
                      <c:pt idx="34">
                        <c:v>371.53078595186338</c:v>
                      </c:pt>
                      <c:pt idx="35">
                        <c:v>402.85219937028756</c:v>
                      </c:pt>
                      <c:pt idx="36">
                        <c:v>208.95619422805078</c:v>
                      </c:pt>
                      <c:pt idx="37">
                        <c:v>373.0368682992052</c:v>
                      </c:pt>
                      <c:pt idx="38">
                        <c:v>389.85446136501832</c:v>
                      </c:pt>
                      <c:pt idx="39">
                        <c:v>276.88581081081082</c:v>
                      </c:pt>
                      <c:pt idx="40">
                        <c:v>363.98177657120243</c:v>
                      </c:pt>
                      <c:pt idx="41">
                        <c:v>1068.7291356539076</c:v>
                      </c:pt>
                      <c:pt idx="42">
                        <c:v>371.8029686841416</c:v>
                      </c:pt>
                      <c:pt idx="43">
                        <c:v>415.55262710861052</c:v>
                      </c:pt>
                      <c:pt idx="44">
                        <c:v>395.01954948481028</c:v>
                      </c:pt>
                      <c:pt idx="45">
                        <c:v>289.6468877718379</c:v>
                      </c:pt>
                      <c:pt idx="46">
                        <c:v>453.52286643300533</c:v>
                      </c:pt>
                      <c:pt idx="47">
                        <c:v>384.21145770686195</c:v>
                      </c:pt>
                      <c:pt idx="48">
                        <c:v>378.75641083670774</c:v>
                      </c:pt>
                    </c:numCache>
                  </c:numRef>
                </c:val>
                <c:extLst>
                  <c:ext xmlns:c16="http://schemas.microsoft.com/office/drawing/2014/chart" uri="{C3380CC4-5D6E-409C-BE32-E72D297353CC}">
                    <c16:uniqueId val="{00000001-FC0F-4C72-BC2C-2386D4931D56}"/>
                  </c:ext>
                </c:extLst>
              </c15:ser>
            </c15:filteredBarSeries>
            <c15:filteredBarSeries>
              <c15:ser>
                <c:idx val="1"/>
                <c:order val="1"/>
                <c:tx>
                  <c:v>2018</c:v>
                </c:tx>
                <c:spPr>
                  <a:solidFill>
                    <a:schemeClr val="accent2"/>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xmlns:c15="http://schemas.microsoft.com/office/drawing/2012/chart">
                      <c:ext xmlns:c15="http://schemas.microsoft.com/office/drawing/2012/chart" uri="{02D57815-91ED-43cb-92C2-25804820EDAC}">
                        <c15:formulaRef>
                          <c15:sqref>'Analisi dati, formula corretta'!$BA$4:$BA$52</c15:sqref>
                        </c15:formulaRef>
                      </c:ext>
                    </c:extLst>
                    <c:numCache>
                      <c:formatCode>#,##0.00</c:formatCode>
                      <c:ptCount val="49"/>
                      <c:pt idx="0">
                        <c:v>419.89</c:v>
                      </c:pt>
                      <c:pt idx="1">
                        <c:v>409.58238022968067</c:v>
                      </c:pt>
                      <c:pt idx="2">
                        <c:v>926.72316513761473</c:v>
                      </c:pt>
                      <c:pt idx="3">
                        <c:v>381.0792815113038</c:v>
                      </c:pt>
                      <c:pt idx="4">
                        <c:v>371</c:v>
                      </c:pt>
                      <c:pt idx="5">
                        <c:v>406.27387996618768</c:v>
                      </c:pt>
                      <c:pt idx="6">
                        <c:v>911.67606915377621</c:v>
                      </c:pt>
                      <c:pt idx="7">
                        <c:v>388.20765449918542</c:v>
                      </c:pt>
                      <c:pt idx="8">
                        <c:v>986.56227461858532</c:v>
                      </c:pt>
                      <c:pt idx="9">
                        <c:v>386.67514957901295</c:v>
                      </c:pt>
                      <c:pt idx="10">
                        <c:v>387.01950587966007</c:v>
                      </c:pt>
                      <c:pt idx="11">
                        <c:v>723.44061520934213</c:v>
                      </c:pt>
                      <c:pt idx="12">
                        <c:v>387.13318284424378</c:v>
                      </c:pt>
                      <c:pt idx="13">
                        <c:v>1019.6104139153898</c:v>
                      </c:pt>
                      <c:pt idx="14">
                        <c:v>988.42664998436032</c:v>
                      </c:pt>
                      <c:pt idx="15">
                        <c:v>387.90872892767277</c:v>
                      </c:pt>
                      <c:pt idx="16">
                        <c:v>394.07139945256534</c:v>
                      </c:pt>
                      <c:pt idx="17">
                        <c:v>367.13450773789924</c:v>
                      </c:pt>
                      <c:pt idx="18">
                        <c:v>298.59904118544347</c:v>
                      </c:pt>
                      <c:pt idx="19">
                        <c:v>411.19435185307179</c:v>
                      </c:pt>
                      <c:pt idx="20">
                        <c:v>386.13351422450734</c:v>
                      </c:pt>
                      <c:pt idx="21">
                        <c:v>247.8819510806058</c:v>
                      </c:pt>
                      <c:pt idx="22">
                        <c:v>231.51000417853015</c:v>
                      </c:pt>
                      <c:pt idx="23">
                        <c:v>268.02066743883017</c:v>
                      </c:pt>
                      <c:pt idx="24">
                        <c:v>319.05597837364905</c:v>
                      </c:pt>
                      <c:pt idx="25">
                        <c:v>406.70106208846397</c:v>
                      </c:pt>
                      <c:pt idx="26">
                        <c:v>409.7043808619257</c:v>
                      </c:pt>
                      <c:pt idx="27">
                        <c:v>226.53597176454846</c:v>
                      </c:pt>
                      <c:pt idx="28">
                        <c:v>402.79823269513992</c:v>
                      </c:pt>
                      <c:pt idx="29">
                        <c:v>264.37665769244217</c:v>
                      </c:pt>
                      <c:pt idx="30">
                        <c:v>385.18648408683117</c:v>
                      </c:pt>
                      <c:pt idx="31">
                        <c:v>346.91898585325868</c:v>
                      </c:pt>
                      <c:pt idx="32">
                        <c:v>1365.3490259504147</c:v>
                      </c:pt>
                      <c:pt idx="33">
                        <c:v>284.14168604159806</c:v>
                      </c:pt>
                      <c:pt idx="34">
                        <c:v>384.19213288507154</c:v>
                      </c:pt>
                      <c:pt idx="35">
                        <c:v>401.87925261907333</c:v>
                      </c:pt>
                      <c:pt idx="36">
                        <c:v>236.84385824673595</c:v>
                      </c:pt>
                      <c:pt idx="37">
                        <c:v>381.55689254338745</c:v>
                      </c:pt>
                      <c:pt idx="38">
                        <c:v>389.48996516680569</c:v>
                      </c:pt>
                      <c:pt idx="39">
                        <c:v>275.68735855156808</c:v>
                      </c:pt>
                      <c:pt idx="40">
                        <c:v>366.7633781033324</c:v>
                      </c:pt>
                      <c:pt idx="41">
                        <c:v>1039.507111940613</c:v>
                      </c:pt>
                      <c:pt idx="42">
                        <c:v>374.89580731984796</c:v>
                      </c:pt>
                      <c:pt idx="43">
                        <c:v>399.3525124299793</c:v>
                      </c:pt>
                      <c:pt idx="44">
                        <c:v>391.54343972989676</c:v>
                      </c:pt>
                      <c:pt idx="45">
                        <c:v>279.38215946467051</c:v>
                      </c:pt>
                      <c:pt idx="46">
                        <c:v>430.55219855054116</c:v>
                      </c:pt>
                      <c:pt idx="47">
                        <c:v>377.37046885271144</c:v>
                      </c:pt>
                      <c:pt idx="48">
                        <c:v>379.23259748048815</c:v>
                      </c:pt>
                    </c:numCache>
                  </c:numRef>
                </c:val>
                <c:extLst xmlns:c15="http://schemas.microsoft.com/office/drawing/2012/chart">
                  <c:ext xmlns:c16="http://schemas.microsoft.com/office/drawing/2014/chart" uri="{C3380CC4-5D6E-409C-BE32-E72D297353CC}">
                    <c16:uniqueId val="{00000002-FC0F-4C72-BC2C-2386D4931D56}"/>
                  </c:ext>
                </c:extLst>
              </c15:ser>
            </c15:filteredBarSeries>
            <c15:filteredBarSeries>
              <c15:ser>
                <c:idx val="2"/>
                <c:order val="2"/>
                <c:tx>
                  <c:v>2019</c:v>
                </c:tx>
                <c:spPr>
                  <a:solidFill>
                    <a:schemeClr val="accent3"/>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xmlns:c15="http://schemas.microsoft.com/office/drawing/2012/chart">
                      <c:ext xmlns:c15="http://schemas.microsoft.com/office/drawing/2012/chart" uri="{02D57815-91ED-43cb-92C2-25804820EDAC}">
                        <c15:formulaRef>
                          <c15:sqref>'Analisi dati, formula corretta'!$BB$4:$BB$52</c15:sqref>
                        </c15:formulaRef>
                      </c:ext>
                    </c:extLst>
                    <c:numCache>
                      <c:formatCode>#,##0.00</c:formatCode>
                      <c:ptCount val="49"/>
                      <c:pt idx="0">
                        <c:v>412.3</c:v>
                      </c:pt>
                      <c:pt idx="1">
                        <c:v>401.07605938585249</c:v>
                      </c:pt>
                      <c:pt idx="2">
                        <c:v>1028.8193651518611</c:v>
                      </c:pt>
                      <c:pt idx="3">
                        <c:v>379.55289765721329</c:v>
                      </c:pt>
                      <c:pt idx="4">
                        <c:v>386</c:v>
                      </c:pt>
                      <c:pt idx="5">
                        <c:v>386.94617563739376</c:v>
                      </c:pt>
                      <c:pt idx="6">
                        <c:v>882.47396630934145</c:v>
                      </c:pt>
                      <c:pt idx="7">
                        <c:v>394.73783455947142</c:v>
                      </c:pt>
                      <c:pt idx="8">
                        <c:v>1020.5023279875841</c:v>
                      </c:pt>
                      <c:pt idx="9">
                        <c:v>380.74424039983046</c:v>
                      </c:pt>
                      <c:pt idx="10">
                        <c:v>383.23726878930313</c:v>
                      </c:pt>
                      <c:pt idx="11">
                        <c:v>709.09307591467052</c:v>
                      </c:pt>
                      <c:pt idx="12">
                        <c:v>381.04020656584288</c:v>
                      </c:pt>
                      <c:pt idx="13">
                        <c:v>987.08187448670208</c:v>
                      </c:pt>
                      <c:pt idx="14">
                        <c:v>996.0972680876614</c:v>
                      </c:pt>
                      <c:pt idx="15">
                        <c:v>393.62834457951203</c:v>
                      </c:pt>
                      <c:pt idx="16">
                        <c:v>389.24523644308124</c:v>
                      </c:pt>
                      <c:pt idx="17">
                        <c:v>368.22433797550036</c:v>
                      </c:pt>
                      <c:pt idx="18">
                        <c:v>297.54750469826683</c:v>
                      </c:pt>
                      <c:pt idx="19">
                        <c:v>398.19853122774254</c:v>
                      </c:pt>
                      <c:pt idx="20">
                        <c:v>380.47284319130461</c:v>
                      </c:pt>
                      <c:pt idx="21">
                        <c:v>249.63268453557146</c:v>
                      </c:pt>
                      <c:pt idx="22">
                        <c:v>226.05266724053357</c:v>
                      </c:pt>
                      <c:pt idx="23">
                        <c:v>264.68753154045896</c:v>
                      </c:pt>
                      <c:pt idx="24">
                        <c:v>322.58963699208357</c:v>
                      </c:pt>
                      <c:pt idx="25">
                        <c:v>404.49073150664435</c:v>
                      </c:pt>
                      <c:pt idx="26">
                        <c:v>400.18382994743166</c:v>
                      </c:pt>
                      <c:pt idx="27">
                        <c:v>232.04161869800376</c:v>
                      </c:pt>
                      <c:pt idx="28">
                        <c:v>406.81818181818181</c:v>
                      </c:pt>
                      <c:pt idx="29">
                        <c:v>258.33805613673258</c:v>
                      </c:pt>
                      <c:pt idx="30">
                        <c:v>387.74340771304918</c:v>
                      </c:pt>
                      <c:pt idx="31">
                        <c:v>321.13423141688719</c:v>
                      </c:pt>
                      <c:pt idx="32">
                        <c:v>1315.3005104421818</c:v>
                      </c:pt>
                      <c:pt idx="33">
                        <c:v>281.32675916457544</c:v>
                      </c:pt>
                      <c:pt idx="34">
                        <c:v>384.49821561750724</c:v>
                      </c:pt>
                      <c:pt idx="35">
                        <c:v>398.94266051179977</c:v>
                      </c:pt>
                      <c:pt idx="36">
                        <c:v>178.69415807560139</c:v>
                      </c:pt>
                      <c:pt idx="37">
                        <c:v>0</c:v>
                      </c:pt>
                      <c:pt idx="38">
                        <c:v>393.45100995441476</c:v>
                      </c:pt>
                      <c:pt idx="39">
                        <c:v>284.46931163106137</c:v>
                      </c:pt>
                      <c:pt idx="40">
                        <c:v>366.21602235710282</c:v>
                      </c:pt>
                      <c:pt idx="41">
                        <c:v>1132.3979192318661</c:v>
                      </c:pt>
                      <c:pt idx="42">
                        <c:v>375.04012195179683</c:v>
                      </c:pt>
                      <c:pt idx="43">
                        <c:v>395.57312030931502</c:v>
                      </c:pt>
                      <c:pt idx="44">
                        <c:v>394.14656750474091</c:v>
                      </c:pt>
                      <c:pt idx="45">
                        <c:v>275.96848677570051</c:v>
                      </c:pt>
                      <c:pt idx="46">
                        <c:v>418.63708571875645</c:v>
                      </c:pt>
                      <c:pt idx="47">
                        <c:v>373.10171461386358</c:v>
                      </c:pt>
                      <c:pt idx="48">
                        <c:v>370.52096486727464</c:v>
                      </c:pt>
                    </c:numCache>
                  </c:numRef>
                </c:val>
                <c:extLst xmlns:c15="http://schemas.microsoft.com/office/drawing/2012/chart">
                  <c:ext xmlns:c16="http://schemas.microsoft.com/office/drawing/2014/chart" uri="{C3380CC4-5D6E-409C-BE32-E72D297353CC}">
                    <c16:uniqueId val="{00000003-FC0F-4C72-BC2C-2386D4931D56}"/>
                  </c:ext>
                </c:extLst>
              </c15:ser>
            </c15:filteredBarSeries>
            <c15:filteredBarSeries>
              <c15:ser>
                <c:idx val="4"/>
                <c:order val="4"/>
                <c:spPr>
                  <a:solidFill>
                    <a:schemeClr val="accent5"/>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xmlns:c15="http://schemas.microsoft.com/office/drawing/2012/chart">
                      <c:ext xmlns:c15="http://schemas.microsoft.com/office/drawing/2012/chart" uri="{02D57815-91ED-43cb-92C2-25804820EDAC}">
                        <c15:formulaRef>
                          <c15:sqref>'Analisi dati, formula corretta'!$BA$3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4-FC0F-4C72-BC2C-2386D4931D56}"/>
                  </c:ext>
                </c:extLst>
              </c15:ser>
            </c15:filteredBarSeries>
            <c15:filteredBarSeries>
              <c15:ser>
                <c:idx val="5"/>
                <c:order val="5"/>
                <c:spPr>
                  <a:solidFill>
                    <a:schemeClr val="accent6"/>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xmlns:c15="http://schemas.microsoft.com/office/drawing/2012/chart">
                      <c:ext xmlns:c15="http://schemas.microsoft.com/office/drawing/2012/chart" uri="{02D57815-91ED-43cb-92C2-25804820EDAC}">
                        <c15:formulaRef>
                          <c15:sqref>'Analisi dati, formula corretta'!$BB$3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5-FC0F-4C72-BC2C-2386D4931D56}"/>
                  </c:ext>
                </c:extLst>
              </c15:ser>
            </c15:filteredBarSeries>
          </c:ext>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specifiche delle centrali a ciclo combinato in % di variazione (SOx)</a:t>
            </a:r>
            <a:endParaRPr lang="it-IT"/>
          </a:p>
        </c:rich>
      </c:tx>
      <c:layout>
        <c:manualLayout>
          <c:xMode val="edge"/>
          <c:yMode val="edge"/>
          <c:x val="0.23762250662977055"/>
          <c:y val="1.058201205155078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3"/>
          <c:order val="3"/>
          <c:tx>
            <c:v>Variazioni</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numLit>
          </c:cat>
          <c:val>
            <c:numRef>
              <c:f>('Analisi dati, formula corretta'!$DY$4,'Analisi dati, formula corretta'!$DY$7,'Analisi dati, formula corretta'!$DY$9,'Analisi dati, formula corretta'!$DY$11,'Analisi dati, formula corretta'!$DY$13,'Analisi dati, formula corretta'!$DY$14,'Analisi dati, formula corretta'!$DY$15,'Analisi dati, formula corretta'!$DY$16,'Analisi dati, formula corretta'!$DY$19,'Analisi dati, formula corretta'!$DY$20,'Analisi dati, formula corretta'!$DY$21,'Analisi dati, formula corretta'!$DY$23,'Analisi dati, formula corretta'!$DY$24,'Analisi dati, formula corretta'!$DY$29,'Analisi dati, formula corretta'!$DY$30,'Analisi dati, formula corretta'!$DY$32,'Analisi dati, formula corretta'!$DY$34,'Analisi dati, formula corretta'!$DY$38,'Analisi dati, formula corretta'!$DY$39,'Analisi dati, formula corretta'!$DY$41,'Analisi dati, formula corretta'!$DY$42,'Analisi dati, formula corretta'!$DY$46,'Analisi dati, formula corretta'!$DY$48,'Analisi dati, formula corretta'!$DY$51)</c:f>
              <c:numCache>
                <c:formatCode>0.000%</c:formatCode>
                <c:ptCount val="24"/>
                <c:pt idx="0">
                  <c:v>0</c:v>
                </c:pt>
                <c:pt idx="1">
                  <c:v>0</c:v>
                </c:pt>
                <c:pt idx="2">
                  <c:v>-1</c:v>
                </c:pt>
                <c:pt idx="3">
                  <c:v>0</c:v>
                </c:pt>
                <c:pt idx="4">
                  <c:v>0</c:v>
                </c:pt>
                <c:pt idx="5">
                  <c:v>0</c:v>
                </c:pt>
                <c:pt idx="6">
                  <c:v>0</c:v>
                </c:pt>
                <c:pt idx="7">
                  <c:v>-1</c:v>
                </c:pt>
                <c:pt idx="8">
                  <c:v>0</c:v>
                </c:pt>
                <c:pt idx="9">
                  <c:v>0</c:v>
                </c:pt>
                <c:pt idx="10">
                  <c:v>0</c:v>
                </c:pt>
                <c:pt idx="11">
                  <c:v>0</c:v>
                </c:pt>
                <c:pt idx="12">
                  <c:v>0</c:v>
                </c:pt>
                <c:pt idx="13">
                  <c:v>0</c:v>
                </c:pt>
                <c:pt idx="14">
                  <c:v>-1</c:v>
                </c:pt>
                <c:pt idx="15">
                  <c:v>0</c:v>
                </c:pt>
                <c:pt idx="16">
                  <c:v>0</c:v>
                </c:pt>
                <c:pt idx="17">
                  <c:v>0</c:v>
                </c:pt>
                <c:pt idx="18">
                  <c:v>0</c:v>
                </c:pt>
                <c:pt idx="19">
                  <c:v>0</c:v>
                </c:pt>
                <c:pt idx="20">
                  <c:v>0</c:v>
                </c:pt>
                <c:pt idx="21">
                  <c:v>0</c:v>
                </c:pt>
                <c:pt idx="22">
                  <c:v>0</c:v>
                </c:pt>
                <c:pt idx="23">
                  <c:v>0</c:v>
                </c:pt>
              </c:numCache>
            </c:numRef>
          </c:val>
          <c:extLst xmlns:c15="http://schemas.microsoft.com/office/drawing/2012/chart">
            <c:ext xmlns:c16="http://schemas.microsoft.com/office/drawing/2014/chart" uri="{C3380CC4-5D6E-409C-BE32-E72D297353CC}">
              <c16:uniqueId val="{00000000-5FEA-4BE3-91BD-26B98C3F03E7}"/>
            </c:ext>
          </c:extLst>
        </c:ser>
        <c:dLbls>
          <c:showLegendKey val="0"/>
          <c:showVal val="0"/>
          <c:showCatName val="0"/>
          <c:showSerName val="0"/>
          <c:showPercent val="0"/>
          <c:showBubbleSize val="0"/>
        </c:dLbls>
        <c:gapWidth val="219"/>
        <c:overlap val="-27"/>
        <c:axId val="55998191"/>
        <c:axId val="55996943"/>
        <c:extLst>
          <c:ext xmlns:c15="http://schemas.microsoft.com/office/drawing/2012/chart" uri="{02D57815-91ED-43cb-92C2-25804820EDAC}">
            <c15:filteredBarSeries>
              <c15:ser>
                <c:idx val="0"/>
                <c:order val="0"/>
                <c:tx>
                  <c:v>2017</c:v>
                </c:tx>
                <c:spPr>
                  <a:solidFill>
                    <a:schemeClr val="accent1"/>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numLit>
                </c:cat>
                <c:val>
                  <c:numRef>
                    <c:extLst>
                      <c:ext uri="{02D57815-91ED-43cb-92C2-25804820EDAC}">
                        <c15:formulaRef>
                          <c15:sqref>'Analisi dati, formula corretta'!$AZ$4:$AZ$30</c15:sqref>
                        </c15:formulaRef>
                      </c:ext>
                    </c:extLst>
                    <c:numCache>
                      <c:formatCode>#,##0.00</c:formatCode>
                      <c:ptCount val="27"/>
                      <c:pt idx="0">
                        <c:v>368.88</c:v>
                      </c:pt>
                      <c:pt idx="1">
                        <c:v>405.35909752359856</c:v>
                      </c:pt>
                      <c:pt idx="2">
                        <c:v>881.75829941203074</c:v>
                      </c:pt>
                      <c:pt idx="3">
                        <c:v>388.47824696097251</c:v>
                      </c:pt>
                      <c:pt idx="4">
                        <c:v>371</c:v>
                      </c:pt>
                      <c:pt idx="5">
                        <c:v>388.38532110091745</c:v>
                      </c:pt>
                      <c:pt idx="6">
                        <c:v>904.86689132266213</c:v>
                      </c:pt>
                      <c:pt idx="7">
                        <c:v>395.22230272631839</c:v>
                      </c:pt>
                      <c:pt idx="8">
                        <c:v>976.88275862068963</c:v>
                      </c:pt>
                      <c:pt idx="9">
                        <c:v>386.18599926009006</c:v>
                      </c:pt>
                      <c:pt idx="10">
                        <c:v>391.62999138401415</c:v>
                      </c:pt>
                      <c:pt idx="11">
                        <c:v>704.4110766089583</c:v>
                      </c:pt>
                      <c:pt idx="12">
                        <c:v>382.60635433494883</c:v>
                      </c:pt>
                      <c:pt idx="13">
                        <c:v>1014.2599631450249</c:v>
                      </c:pt>
                      <c:pt idx="14">
                        <c:v>985.69424964936889</c:v>
                      </c:pt>
                      <c:pt idx="15">
                        <c:v>395.39834153132517</c:v>
                      </c:pt>
                      <c:pt idx="16">
                        <c:v>387.4130624931002</c:v>
                      </c:pt>
                      <c:pt idx="17">
                        <c:v>364.17587834891265</c:v>
                      </c:pt>
                      <c:pt idx="18">
                        <c:v>281.57096027767068</c:v>
                      </c:pt>
                      <c:pt idx="19">
                        <c:v>407.69128245998718</c:v>
                      </c:pt>
                      <c:pt idx="20">
                        <c:v>388.47391789206461</c:v>
                      </c:pt>
                      <c:pt idx="21">
                        <c:v>248.44577280114868</c:v>
                      </c:pt>
                      <c:pt idx="22">
                        <c:v>245.27063673896387</c:v>
                      </c:pt>
                      <c:pt idx="23">
                        <c:v>267.09954756699329</c:v>
                      </c:pt>
                      <c:pt idx="24">
                        <c:v>324.73430023149348</c:v>
                      </c:pt>
                      <c:pt idx="25">
                        <c:v>398.48632709749376</c:v>
                      </c:pt>
                      <c:pt idx="26">
                        <c:v>482.20290754824356</c:v>
                      </c:pt>
                    </c:numCache>
                  </c:numRef>
                </c:val>
                <c:extLst>
                  <c:ext xmlns:c16="http://schemas.microsoft.com/office/drawing/2014/chart" uri="{C3380CC4-5D6E-409C-BE32-E72D297353CC}">
                    <c16:uniqueId val="{00000001-5FEA-4BE3-91BD-26B98C3F03E7}"/>
                  </c:ext>
                </c:extLst>
              </c15:ser>
            </c15:filteredBarSeries>
            <c15:filteredBarSeries>
              <c15:ser>
                <c:idx val="1"/>
                <c:order val="1"/>
                <c:tx>
                  <c:v>2018</c:v>
                </c:tx>
                <c:spPr>
                  <a:solidFill>
                    <a:schemeClr val="accent2"/>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numLit>
                </c:cat>
                <c:val>
                  <c:numRef>
                    <c:extLst xmlns:c15="http://schemas.microsoft.com/office/drawing/2012/chart">
                      <c:ext xmlns:c15="http://schemas.microsoft.com/office/drawing/2012/chart" uri="{02D57815-91ED-43cb-92C2-25804820EDAC}">
                        <c15:formulaRef>
                          <c15:sqref>'Analisi dati, formula corretta'!$BA$4:$BA$30</c15:sqref>
                        </c15:formulaRef>
                      </c:ext>
                    </c:extLst>
                    <c:numCache>
                      <c:formatCode>#,##0.00</c:formatCode>
                      <c:ptCount val="27"/>
                      <c:pt idx="0">
                        <c:v>419.89</c:v>
                      </c:pt>
                      <c:pt idx="1">
                        <c:v>409.58238022968067</c:v>
                      </c:pt>
                      <c:pt idx="2">
                        <c:v>926.72316513761473</c:v>
                      </c:pt>
                      <c:pt idx="3">
                        <c:v>381.0792815113038</c:v>
                      </c:pt>
                      <c:pt idx="4">
                        <c:v>371</c:v>
                      </c:pt>
                      <c:pt idx="5">
                        <c:v>406.27387996618768</c:v>
                      </c:pt>
                      <c:pt idx="6">
                        <c:v>911.67606915377621</c:v>
                      </c:pt>
                      <c:pt idx="7">
                        <c:v>388.20765449918542</c:v>
                      </c:pt>
                      <c:pt idx="8">
                        <c:v>986.56227461858532</c:v>
                      </c:pt>
                      <c:pt idx="9">
                        <c:v>386.67514957901295</c:v>
                      </c:pt>
                      <c:pt idx="10">
                        <c:v>387.01950587966007</c:v>
                      </c:pt>
                      <c:pt idx="11">
                        <c:v>723.44061520934213</c:v>
                      </c:pt>
                      <c:pt idx="12">
                        <c:v>387.13318284424378</c:v>
                      </c:pt>
                      <c:pt idx="13">
                        <c:v>1019.6104139153898</c:v>
                      </c:pt>
                      <c:pt idx="14">
                        <c:v>988.42664998436032</c:v>
                      </c:pt>
                      <c:pt idx="15">
                        <c:v>387.90872892767277</c:v>
                      </c:pt>
                      <c:pt idx="16">
                        <c:v>394.07139945256534</c:v>
                      </c:pt>
                      <c:pt idx="17">
                        <c:v>367.13450773789924</c:v>
                      </c:pt>
                      <c:pt idx="18">
                        <c:v>298.59904118544347</c:v>
                      </c:pt>
                      <c:pt idx="19">
                        <c:v>411.19435185307179</c:v>
                      </c:pt>
                      <c:pt idx="20">
                        <c:v>386.13351422450734</c:v>
                      </c:pt>
                      <c:pt idx="21">
                        <c:v>247.8819510806058</c:v>
                      </c:pt>
                      <c:pt idx="22">
                        <c:v>231.51000417853015</c:v>
                      </c:pt>
                      <c:pt idx="23">
                        <c:v>268.02066743883017</c:v>
                      </c:pt>
                      <c:pt idx="24">
                        <c:v>319.05597837364905</c:v>
                      </c:pt>
                      <c:pt idx="25">
                        <c:v>406.70106208846397</c:v>
                      </c:pt>
                      <c:pt idx="26">
                        <c:v>409.7043808619257</c:v>
                      </c:pt>
                    </c:numCache>
                  </c:numRef>
                </c:val>
                <c:extLst xmlns:c15="http://schemas.microsoft.com/office/drawing/2012/chart">
                  <c:ext xmlns:c16="http://schemas.microsoft.com/office/drawing/2014/chart" uri="{C3380CC4-5D6E-409C-BE32-E72D297353CC}">
                    <c16:uniqueId val="{00000002-5FEA-4BE3-91BD-26B98C3F03E7}"/>
                  </c:ext>
                </c:extLst>
              </c15:ser>
            </c15:filteredBarSeries>
            <c15:filteredBarSeries>
              <c15:ser>
                <c:idx val="2"/>
                <c:order val="2"/>
                <c:tx>
                  <c:v>2019</c:v>
                </c:tx>
                <c:spPr>
                  <a:solidFill>
                    <a:schemeClr val="accent3"/>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numLit>
                </c:cat>
                <c:val>
                  <c:numRef>
                    <c:extLst xmlns:c15="http://schemas.microsoft.com/office/drawing/2012/chart">
                      <c:ext xmlns:c15="http://schemas.microsoft.com/office/drawing/2012/chart" uri="{02D57815-91ED-43cb-92C2-25804820EDAC}">
                        <c15:formulaRef>
                          <c15:sqref>'Analisi dati, formula corretta'!$BB$4:$BB$30</c15:sqref>
                        </c15:formulaRef>
                      </c:ext>
                    </c:extLst>
                    <c:numCache>
                      <c:formatCode>#,##0.00</c:formatCode>
                      <c:ptCount val="27"/>
                      <c:pt idx="0">
                        <c:v>412.3</c:v>
                      </c:pt>
                      <c:pt idx="1">
                        <c:v>401.07605938585249</c:v>
                      </c:pt>
                      <c:pt idx="2">
                        <c:v>1028.8193651518611</c:v>
                      </c:pt>
                      <c:pt idx="3">
                        <c:v>379.55289765721329</c:v>
                      </c:pt>
                      <c:pt idx="4">
                        <c:v>386</c:v>
                      </c:pt>
                      <c:pt idx="5">
                        <c:v>386.94617563739376</c:v>
                      </c:pt>
                      <c:pt idx="6">
                        <c:v>882.47396630934145</c:v>
                      </c:pt>
                      <c:pt idx="7">
                        <c:v>394.73783455947142</c:v>
                      </c:pt>
                      <c:pt idx="8">
                        <c:v>1020.5023279875841</c:v>
                      </c:pt>
                      <c:pt idx="9">
                        <c:v>380.74424039983046</c:v>
                      </c:pt>
                      <c:pt idx="10">
                        <c:v>383.23726878930313</c:v>
                      </c:pt>
                      <c:pt idx="11">
                        <c:v>709.09307591467052</c:v>
                      </c:pt>
                      <c:pt idx="12">
                        <c:v>381.04020656584288</c:v>
                      </c:pt>
                      <c:pt idx="13">
                        <c:v>987.08187448670208</c:v>
                      </c:pt>
                      <c:pt idx="14">
                        <c:v>996.0972680876614</c:v>
                      </c:pt>
                      <c:pt idx="15">
                        <c:v>393.62834457951203</c:v>
                      </c:pt>
                      <c:pt idx="16">
                        <c:v>389.24523644308124</c:v>
                      </c:pt>
                      <c:pt idx="17">
                        <c:v>368.22433797550036</c:v>
                      </c:pt>
                      <c:pt idx="18">
                        <c:v>297.54750469826683</c:v>
                      </c:pt>
                      <c:pt idx="19">
                        <c:v>398.19853122774254</c:v>
                      </c:pt>
                      <c:pt idx="20">
                        <c:v>380.47284319130461</c:v>
                      </c:pt>
                      <c:pt idx="21">
                        <c:v>249.63268453557146</c:v>
                      </c:pt>
                      <c:pt idx="22">
                        <c:v>226.05266724053357</c:v>
                      </c:pt>
                      <c:pt idx="23">
                        <c:v>264.68753154045896</c:v>
                      </c:pt>
                      <c:pt idx="24">
                        <c:v>322.58963699208357</c:v>
                      </c:pt>
                      <c:pt idx="25">
                        <c:v>404.49073150664435</c:v>
                      </c:pt>
                      <c:pt idx="26">
                        <c:v>400.18382994743166</c:v>
                      </c:pt>
                    </c:numCache>
                  </c:numRef>
                </c:val>
                <c:extLst xmlns:c15="http://schemas.microsoft.com/office/drawing/2012/chart">
                  <c:ext xmlns:c16="http://schemas.microsoft.com/office/drawing/2014/chart" uri="{C3380CC4-5D6E-409C-BE32-E72D297353CC}">
                    <c16:uniqueId val="{00000003-5FEA-4BE3-91BD-26B98C3F03E7}"/>
                  </c:ext>
                </c:extLst>
              </c15:ser>
            </c15:filteredBarSeries>
            <c15:filteredBarSeries>
              <c15:ser>
                <c:idx val="4"/>
                <c:order val="4"/>
                <c:spPr>
                  <a:solidFill>
                    <a:schemeClr val="accent5"/>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numLit>
                </c:cat>
                <c:val>
                  <c:numRef>
                    <c:extLst xmlns:c15="http://schemas.microsoft.com/office/drawing/2012/chart">
                      <c:ext xmlns:c15="http://schemas.microsoft.com/office/drawing/2012/chart" uri="{02D57815-91ED-43cb-92C2-25804820EDAC}">
                        <c15:formulaRef>
                          <c15:sqref>'Analisi dati, formula corretta'!$BA$3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4-5FEA-4BE3-91BD-26B98C3F03E7}"/>
                  </c:ext>
                </c:extLst>
              </c15:ser>
            </c15:filteredBarSeries>
            <c15:filteredBarSeries>
              <c15:ser>
                <c:idx val="5"/>
                <c:order val="5"/>
                <c:spPr>
                  <a:solidFill>
                    <a:schemeClr val="accent6"/>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numLit>
                </c:cat>
                <c:val>
                  <c:numRef>
                    <c:extLst xmlns:c15="http://schemas.microsoft.com/office/drawing/2012/chart">
                      <c:ext xmlns:c15="http://schemas.microsoft.com/office/drawing/2012/chart" uri="{02D57815-91ED-43cb-92C2-25804820EDAC}">
                        <c15:formulaRef>
                          <c15:sqref>'Analisi dati, formula corretta'!$BB$3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5-5FEA-4BE3-91BD-26B98C3F03E7}"/>
                  </c:ext>
                </c:extLst>
              </c15:ser>
            </c15:filteredBarSeries>
          </c:ext>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 generali delle emissioni specifiche delle centrali a carbone (SOx</a:t>
            </a:r>
            <a:r>
              <a:rPr lang="it-IT"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pieChart>
        <c:varyColors val="1"/>
        <c:ser>
          <c:idx val="0"/>
          <c:order val="0"/>
          <c:spPr>
            <a:solidFill>
              <a:srgbClr val="FF0000"/>
            </a:solidFill>
          </c:spPr>
          <c:dPt>
            <c:idx val="0"/>
            <c:bubble3D val="0"/>
            <c:spPr>
              <a:solidFill>
                <a:srgbClr val="FF0000"/>
              </a:solidFill>
              <a:ln>
                <a:noFill/>
              </a:ln>
              <a:effectLst/>
            </c:spPr>
            <c:extLst>
              <c:ext xmlns:c16="http://schemas.microsoft.com/office/drawing/2014/chart" uri="{C3380CC4-5D6E-409C-BE32-E72D297353CC}">
                <c16:uniqueId val="{00000001-A5E0-469E-998F-9BDDAAFCF276}"/>
              </c:ext>
            </c:extLst>
          </c:dPt>
          <c:dPt>
            <c:idx val="1"/>
            <c:bubble3D val="0"/>
            <c:spPr>
              <a:solidFill>
                <a:srgbClr val="92D050"/>
              </a:solidFill>
              <a:ln>
                <a:noFill/>
              </a:ln>
              <a:effectLst/>
            </c:spPr>
            <c:extLst>
              <c:ext xmlns:c16="http://schemas.microsoft.com/office/drawing/2014/chart" uri="{C3380CC4-5D6E-409C-BE32-E72D297353CC}">
                <c16:uniqueId val="{00000003-A5E0-469E-998F-9BDDAAFCF27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'Analisi dati, formula corretta'!$BH$54:$BH$55</c:f>
              <c:strCache>
                <c:ptCount val="2"/>
                <c:pt idx="0">
                  <c:v>Incremento emissioni specifiche</c:v>
                </c:pt>
                <c:pt idx="1">
                  <c:v>Diminuzione emissioni specifiche</c:v>
                </c:pt>
              </c:strCache>
            </c:strRef>
          </c:cat>
          <c:val>
            <c:numRef>
              <c:f>'Analisi dati, formula corretta'!$FP$136:$FP$137</c:f>
              <c:numCache>
                <c:formatCode>General</c:formatCode>
                <c:ptCount val="2"/>
                <c:pt idx="0">
                  <c:v>2</c:v>
                </c:pt>
                <c:pt idx="1">
                  <c:v>5</c:v>
                </c:pt>
              </c:numCache>
            </c:numRef>
          </c:val>
          <c:extLst>
            <c:ext xmlns:c16="http://schemas.microsoft.com/office/drawing/2014/chart" uri="{C3380CC4-5D6E-409C-BE32-E72D297353CC}">
              <c16:uniqueId val="{00000006-A5E0-469E-998F-9BDDAAFCF276}"/>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specifiche delle centrali di cogenerazione in % di variazione (SOx)</a:t>
            </a:r>
            <a:endParaRPr lang="it-IT"/>
          </a:p>
        </c:rich>
      </c:tx>
      <c:layout>
        <c:manualLayout>
          <c:xMode val="edge"/>
          <c:yMode val="edge"/>
          <c:x val="0.23762250662977055"/>
          <c:y val="1.058201205155078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3"/>
          <c:order val="3"/>
          <c:tx>
            <c:v>Variazioni</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numLit>
          </c:cat>
          <c:val>
            <c:numRef>
              <c:f>('Analisi dati, formula corretta'!$DY$5,'Analisi dati, formula corretta'!$DY$8,'Analisi dati, formula corretta'!$DY$22,'Analisi dati, formula corretta'!$DY$25,'Analisi dati, formula corretta'!$DY$26,'Analisi dati, formula corretta'!$DY$27,'Analisi dati, formula corretta'!$DY$28,'Analisi dati, formula corretta'!$DY$31,'Analisi dati, formula corretta'!$DY$33,'Analisi dati, formula corretta'!$DY$35,'Analisi dati, formula corretta'!$DY$37,'Analisi dati, formula corretta'!$DY$40,'Analisi dati, formula corretta'!$DY$43,'Analisi dati, formula corretta'!$DY$44,'Analisi dati, formula corretta'!$DY$47,'Analisi dati, formula corretta'!$DY$49,'Analisi dati, formula corretta'!$DY$50,'Analisi dati, formula corretta'!$DY$52)</c:f>
              <c:numCache>
                <c:formatCode>0.000%</c:formatCode>
                <c:ptCount val="18"/>
                <c:pt idx="0">
                  <c:v>0</c:v>
                </c:pt>
                <c:pt idx="1">
                  <c:v>-0.30122881355932207</c:v>
                </c:pt>
                <c:pt idx="2">
                  <c:v>0</c:v>
                </c:pt>
                <c:pt idx="3">
                  <c:v>0</c:v>
                </c:pt>
                <c:pt idx="4">
                  <c:v>0</c:v>
                </c:pt>
                <c:pt idx="5">
                  <c:v>0</c:v>
                </c:pt>
                <c:pt idx="6">
                  <c:v>0</c:v>
                </c:pt>
                <c:pt idx="7">
                  <c:v>0</c:v>
                </c:pt>
                <c:pt idx="8">
                  <c:v>0</c:v>
                </c:pt>
                <c:pt idx="9">
                  <c:v>0.35107360792441722</c:v>
                </c:pt>
                <c:pt idx="10">
                  <c:v>0</c:v>
                </c:pt>
                <c:pt idx="11">
                  <c:v>-0.18111604969786477</c:v>
                </c:pt>
                <c:pt idx="12">
                  <c:v>0</c:v>
                </c:pt>
                <c:pt idx="13">
                  <c:v>0</c:v>
                </c:pt>
                <c:pt idx="14">
                  <c:v>-0.88052820328871428</c:v>
                </c:pt>
                <c:pt idx="15">
                  <c:v>0</c:v>
                </c:pt>
                <c:pt idx="16">
                  <c:v>0</c:v>
                </c:pt>
                <c:pt idx="17">
                  <c:v>0</c:v>
                </c:pt>
              </c:numCache>
            </c:numRef>
          </c:val>
          <c:extLst xmlns:c15="http://schemas.microsoft.com/office/drawing/2012/chart">
            <c:ext xmlns:c16="http://schemas.microsoft.com/office/drawing/2014/chart" uri="{C3380CC4-5D6E-409C-BE32-E72D297353CC}">
              <c16:uniqueId val="{00000000-698B-4BED-9D94-37BC20D1AC36}"/>
            </c:ext>
          </c:extLst>
        </c:ser>
        <c:dLbls>
          <c:showLegendKey val="0"/>
          <c:showVal val="0"/>
          <c:showCatName val="0"/>
          <c:showSerName val="0"/>
          <c:showPercent val="0"/>
          <c:showBubbleSize val="0"/>
        </c:dLbls>
        <c:gapWidth val="219"/>
        <c:overlap val="-27"/>
        <c:axId val="55998191"/>
        <c:axId val="55996943"/>
        <c:extLst>
          <c:ext xmlns:c15="http://schemas.microsoft.com/office/drawing/2012/chart" uri="{02D57815-91ED-43cb-92C2-25804820EDAC}">
            <c15:filteredBarSeries>
              <c15:ser>
                <c:idx val="0"/>
                <c:order val="0"/>
                <c:tx>
                  <c:v>2017</c:v>
                </c:tx>
                <c:spPr>
                  <a:solidFill>
                    <a:schemeClr val="accent1"/>
                  </a:solidFill>
                  <a:ln>
                    <a:noFill/>
                  </a:ln>
                  <a:effectLst/>
                </c:spPr>
                <c:invertIfNegative val="0"/>
                <c:cat>
                  <c:numLit>
                    <c:formatCode>General</c:formatCode>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numLit>
                </c:cat>
                <c:val>
                  <c:numRef>
                    <c:extLst>
                      <c:ext uri="{02D57815-91ED-43cb-92C2-25804820EDAC}">
                        <c15:formulaRef>
                          <c15:sqref>'Analisi dati, formula corretta'!$AZ$4:$AZ$52</c15:sqref>
                        </c15:formulaRef>
                      </c:ext>
                    </c:extLst>
                    <c:numCache>
                      <c:formatCode>#,##0.00</c:formatCode>
                      <c:ptCount val="49"/>
                      <c:pt idx="0">
                        <c:v>368.88</c:v>
                      </c:pt>
                      <c:pt idx="1">
                        <c:v>405.35909752359856</c:v>
                      </c:pt>
                      <c:pt idx="2">
                        <c:v>881.75829941203074</c:v>
                      </c:pt>
                      <c:pt idx="3">
                        <c:v>388.47824696097251</c:v>
                      </c:pt>
                      <c:pt idx="4">
                        <c:v>371</c:v>
                      </c:pt>
                      <c:pt idx="5">
                        <c:v>388.38532110091745</c:v>
                      </c:pt>
                      <c:pt idx="6">
                        <c:v>904.86689132266213</c:v>
                      </c:pt>
                      <c:pt idx="7">
                        <c:v>395.22230272631839</c:v>
                      </c:pt>
                      <c:pt idx="8">
                        <c:v>976.88275862068963</c:v>
                      </c:pt>
                      <c:pt idx="9">
                        <c:v>386.18599926009006</c:v>
                      </c:pt>
                      <c:pt idx="10">
                        <c:v>391.62999138401415</c:v>
                      </c:pt>
                      <c:pt idx="11">
                        <c:v>704.4110766089583</c:v>
                      </c:pt>
                      <c:pt idx="12">
                        <c:v>382.60635433494883</c:v>
                      </c:pt>
                      <c:pt idx="13">
                        <c:v>1014.2599631450249</c:v>
                      </c:pt>
                      <c:pt idx="14">
                        <c:v>985.69424964936889</c:v>
                      </c:pt>
                      <c:pt idx="15">
                        <c:v>395.39834153132517</c:v>
                      </c:pt>
                      <c:pt idx="16">
                        <c:v>387.4130624931002</c:v>
                      </c:pt>
                      <c:pt idx="17">
                        <c:v>364.17587834891265</c:v>
                      </c:pt>
                      <c:pt idx="18">
                        <c:v>281.57096027767068</c:v>
                      </c:pt>
                      <c:pt idx="19">
                        <c:v>407.69128245998718</c:v>
                      </c:pt>
                      <c:pt idx="20">
                        <c:v>388.47391789206461</c:v>
                      </c:pt>
                      <c:pt idx="21">
                        <c:v>248.44577280114868</c:v>
                      </c:pt>
                      <c:pt idx="22">
                        <c:v>245.27063673896387</c:v>
                      </c:pt>
                      <c:pt idx="23">
                        <c:v>267.09954756699329</c:v>
                      </c:pt>
                      <c:pt idx="24">
                        <c:v>324.73430023149348</c:v>
                      </c:pt>
                      <c:pt idx="25">
                        <c:v>398.48632709749376</c:v>
                      </c:pt>
                      <c:pt idx="26">
                        <c:v>482.20290754824356</c:v>
                      </c:pt>
                      <c:pt idx="27">
                        <c:v>231.55753233807644</c:v>
                      </c:pt>
                      <c:pt idx="28">
                        <c:v>408.46366145354187</c:v>
                      </c:pt>
                      <c:pt idx="29">
                        <c:v>259.06890130353821</c:v>
                      </c:pt>
                      <c:pt idx="30">
                        <c:v>384.98705261351364</c:v>
                      </c:pt>
                      <c:pt idx="31">
                        <c:v>287.65724699772517</c:v>
                      </c:pt>
                      <c:pt idx="32">
                        <c:v>1400.4351729065409</c:v>
                      </c:pt>
                      <c:pt idx="33">
                        <c:v>283.14788261666286</c:v>
                      </c:pt>
                      <c:pt idx="34">
                        <c:v>371.53078595186338</c:v>
                      </c:pt>
                      <c:pt idx="35">
                        <c:v>402.85219937028756</c:v>
                      </c:pt>
                      <c:pt idx="36">
                        <c:v>208.95619422805078</c:v>
                      </c:pt>
                      <c:pt idx="37">
                        <c:v>373.0368682992052</c:v>
                      </c:pt>
                      <c:pt idx="38">
                        <c:v>389.85446136501832</c:v>
                      </c:pt>
                      <c:pt idx="39">
                        <c:v>276.88581081081082</c:v>
                      </c:pt>
                      <c:pt idx="40">
                        <c:v>363.98177657120243</c:v>
                      </c:pt>
                      <c:pt idx="41">
                        <c:v>1068.7291356539076</c:v>
                      </c:pt>
                      <c:pt idx="42">
                        <c:v>371.8029686841416</c:v>
                      </c:pt>
                      <c:pt idx="43">
                        <c:v>415.55262710861052</c:v>
                      </c:pt>
                      <c:pt idx="44">
                        <c:v>395.01954948481028</c:v>
                      </c:pt>
                      <c:pt idx="45">
                        <c:v>289.6468877718379</c:v>
                      </c:pt>
                      <c:pt idx="46">
                        <c:v>453.52286643300533</c:v>
                      </c:pt>
                      <c:pt idx="47">
                        <c:v>384.21145770686195</c:v>
                      </c:pt>
                      <c:pt idx="48">
                        <c:v>378.75641083670774</c:v>
                      </c:pt>
                    </c:numCache>
                  </c:numRef>
                </c:val>
                <c:extLst>
                  <c:ext xmlns:c16="http://schemas.microsoft.com/office/drawing/2014/chart" uri="{C3380CC4-5D6E-409C-BE32-E72D297353CC}">
                    <c16:uniqueId val="{00000001-698B-4BED-9D94-37BC20D1AC36}"/>
                  </c:ext>
                </c:extLst>
              </c15:ser>
            </c15:filteredBarSeries>
            <c15:filteredBarSeries>
              <c15:ser>
                <c:idx val="1"/>
                <c:order val="1"/>
                <c:tx>
                  <c:v>2018</c:v>
                </c:tx>
                <c:spPr>
                  <a:solidFill>
                    <a:schemeClr val="accent2"/>
                  </a:solidFill>
                  <a:ln>
                    <a:noFill/>
                  </a:ln>
                  <a:effectLst/>
                </c:spPr>
                <c:invertIfNegative val="0"/>
                <c:cat>
                  <c:numLit>
                    <c:formatCode>General</c:formatCode>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numLit>
                </c:cat>
                <c:val>
                  <c:numRef>
                    <c:extLst xmlns:c15="http://schemas.microsoft.com/office/drawing/2012/chart">
                      <c:ext xmlns:c15="http://schemas.microsoft.com/office/drawing/2012/chart" uri="{02D57815-91ED-43cb-92C2-25804820EDAC}">
                        <c15:formulaRef>
                          <c15:sqref>'Analisi dati, formula corretta'!$BA$4:$BA$52</c15:sqref>
                        </c15:formulaRef>
                      </c:ext>
                    </c:extLst>
                    <c:numCache>
                      <c:formatCode>#,##0.00</c:formatCode>
                      <c:ptCount val="49"/>
                      <c:pt idx="0">
                        <c:v>419.89</c:v>
                      </c:pt>
                      <c:pt idx="1">
                        <c:v>409.58238022968067</c:v>
                      </c:pt>
                      <c:pt idx="2">
                        <c:v>926.72316513761473</c:v>
                      </c:pt>
                      <c:pt idx="3">
                        <c:v>381.0792815113038</c:v>
                      </c:pt>
                      <c:pt idx="4">
                        <c:v>371</c:v>
                      </c:pt>
                      <c:pt idx="5">
                        <c:v>406.27387996618768</c:v>
                      </c:pt>
                      <c:pt idx="6">
                        <c:v>911.67606915377621</c:v>
                      </c:pt>
                      <c:pt idx="7">
                        <c:v>388.20765449918542</c:v>
                      </c:pt>
                      <c:pt idx="8">
                        <c:v>986.56227461858532</c:v>
                      </c:pt>
                      <c:pt idx="9">
                        <c:v>386.67514957901295</c:v>
                      </c:pt>
                      <c:pt idx="10">
                        <c:v>387.01950587966007</c:v>
                      </c:pt>
                      <c:pt idx="11">
                        <c:v>723.44061520934213</c:v>
                      </c:pt>
                      <c:pt idx="12">
                        <c:v>387.13318284424378</c:v>
                      </c:pt>
                      <c:pt idx="13">
                        <c:v>1019.6104139153898</c:v>
                      </c:pt>
                      <c:pt idx="14">
                        <c:v>988.42664998436032</c:v>
                      </c:pt>
                      <c:pt idx="15">
                        <c:v>387.90872892767277</c:v>
                      </c:pt>
                      <c:pt idx="16">
                        <c:v>394.07139945256534</c:v>
                      </c:pt>
                      <c:pt idx="17">
                        <c:v>367.13450773789924</c:v>
                      </c:pt>
                      <c:pt idx="18">
                        <c:v>298.59904118544347</c:v>
                      </c:pt>
                      <c:pt idx="19">
                        <c:v>411.19435185307179</c:v>
                      </c:pt>
                      <c:pt idx="20">
                        <c:v>386.13351422450734</c:v>
                      </c:pt>
                      <c:pt idx="21">
                        <c:v>247.8819510806058</c:v>
                      </c:pt>
                      <c:pt idx="22">
                        <c:v>231.51000417853015</c:v>
                      </c:pt>
                      <c:pt idx="23">
                        <c:v>268.02066743883017</c:v>
                      </c:pt>
                      <c:pt idx="24">
                        <c:v>319.05597837364905</c:v>
                      </c:pt>
                      <c:pt idx="25">
                        <c:v>406.70106208846397</c:v>
                      </c:pt>
                      <c:pt idx="26">
                        <c:v>409.7043808619257</c:v>
                      </c:pt>
                      <c:pt idx="27">
                        <c:v>226.53597176454846</c:v>
                      </c:pt>
                      <c:pt idx="28">
                        <c:v>402.79823269513992</c:v>
                      </c:pt>
                      <c:pt idx="29">
                        <c:v>264.37665769244217</c:v>
                      </c:pt>
                      <c:pt idx="30">
                        <c:v>385.18648408683117</c:v>
                      </c:pt>
                      <c:pt idx="31">
                        <c:v>346.91898585325868</c:v>
                      </c:pt>
                      <c:pt idx="32">
                        <c:v>1365.3490259504147</c:v>
                      </c:pt>
                      <c:pt idx="33">
                        <c:v>284.14168604159806</c:v>
                      </c:pt>
                      <c:pt idx="34">
                        <c:v>384.19213288507154</c:v>
                      </c:pt>
                      <c:pt idx="35">
                        <c:v>401.87925261907333</c:v>
                      </c:pt>
                      <c:pt idx="36">
                        <c:v>236.84385824673595</c:v>
                      </c:pt>
                      <c:pt idx="37">
                        <c:v>381.55689254338745</c:v>
                      </c:pt>
                      <c:pt idx="38">
                        <c:v>389.48996516680569</c:v>
                      </c:pt>
                      <c:pt idx="39">
                        <c:v>275.68735855156808</c:v>
                      </c:pt>
                      <c:pt idx="40">
                        <c:v>366.7633781033324</c:v>
                      </c:pt>
                      <c:pt idx="41">
                        <c:v>1039.507111940613</c:v>
                      </c:pt>
                      <c:pt idx="42">
                        <c:v>374.89580731984796</c:v>
                      </c:pt>
                      <c:pt idx="43">
                        <c:v>399.3525124299793</c:v>
                      </c:pt>
                      <c:pt idx="44">
                        <c:v>391.54343972989676</c:v>
                      </c:pt>
                      <c:pt idx="45">
                        <c:v>279.38215946467051</c:v>
                      </c:pt>
                      <c:pt idx="46">
                        <c:v>430.55219855054116</c:v>
                      </c:pt>
                      <c:pt idx="47">
                        <c:v>377.37046885271144</c:v>
                      </c:pt>
                      <c:pt idx="48">
                        <c:v>379.23259748048815</c:v>
                      </c:pt>
                    </c:numCache>
                  </c:numRef>
                </c:val>
                <c:extLst xmlns:c15="http://schemas.microsoft.com/office/drawing/2012/chart">
                  <c:ext xmlns:c16="http://schemas.microsoft.com/office/drawing/2014/chart" uri="{C3380CC4-5D6E-409C-BE32-E72D297353CC}">
                    <c16:uniqueId val="{00000002-698B-4BED-9D94-37BC20D1AC36}"/>
                  </c:ext>
                </c:extLst>
              </c15:ser>
            </c15:filteredBarSeries>
            <c15:filteredBarSeries>
              <c15:ser>
                <c:idx val="2"/>
                <c:order val="2"/>
                <c:tx>
                  <c:v>2019</c:v>
                </c:tx>
                <c:spPr>
                  <a:solidFill>
                    <a:schemeClr val="accent3"/>
                  </a:solidFill>
                  <a:ln>
                    <a:noFill/>
                  </a:ln>
                  <a:effectLst/>
                </c:spPr>
                <c:invertIfNegative val="0"/>
                <c:cat>
                  <c:numLit>
                    <c:formatCode>General</c:formatCode>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numLit>
                </c:cat>
                <c:val>
                  <c:numRef>
                    <c:extLst xmlns:c15="http://schemas.microsoft.com/office/drawing/2012/chart">
                      <c:ext xmlns:c15="http://schemas.microsoft.com/office/drawing/2012/chart" uri="{02D57815-91ED-43cb-92C2-25804820EDAC}">
                        <c15:formulaRef>
                          <c15:sqref>'Analisi dati, formula corretta'!$BB$4:$BB$52</c15:sqref>
                        </c15:formulaRef>
                      </c:ext>
                    </c:extLst>
                    <c:numCache>
                      <c:formatCode>#,##0.00</c:formatCode>
                      <c:ptCount val="49"/>
                      <c:pt idx="0">
                        <c:v>412.3</c:v>
                      </c:pt>
                      <c:pt idx="1">
                        <c:v>401.07605938585249</c:v>
                      </c:pt>
                      <c:pt idx="2">
                        <c:v>1028.8193651518611</c:v>
                      </c:pt>
                      <c:pt idx="3">
                        <c:v>379.55289765721329</c:v>
                      </c:pt>
                      <c:pt idx="4">
                        <c:v>386</c:v>
                      </c:pt>
                      <c:pt idx="5">
                        <c:v>386.94617563739376</c:v>
                      </c:pt>
                      <c:pt idx="6">
                        <c:v>882.47396630934145</c:v>
                      </c:pt>
                      <c:pt idx="7">
                        <c:v>394.73783455947142</c:v>
                      </c:pt>
                      <c:pt idx="8">
                        <c:v>1020.5023279875841</c:v>
                      </c:pt>
                      <c:pt idx="9">
                        <c:v>380.74424039983046</c:v>
                      </c:pt>
                      <c:pt idx="10">
                        <c:v>383.23726878930313</c:v>
                      </c:pt>
                      <c:pt idx="11">
                        <c:v>709.09307591467052</c:v>
                      </c:pt>
                      <c:pt idx="12">
                        <c:v>381.04020656584288</c:v>
                      </c:pt>
                      <c:pt idx="13">
                        <c:v>987.08187448670208</c:v>
                      </c:pt>
                      <c:pt idx="14">
                        <c:v>996.0972680876614</c:v>
                      </c:pt>
                      <c:pt idx="15">
                        <c:v>393.62834457951203</c:v>
                      </c:pt>
                      <c:pt idx="16">
                        <c:v>389.24523644308124</c:v>
                      </c:pt>
                      <c:pt idx="17">
                        <c:v>368.22433797550036</c:v>
                      </c:pt>
                      <c:pt idx="18">
                        <c:v>297.54750469826683</c:v>
                      </c:pt>
                      <c:pt idx="19">
                        <c:v>398.19853122774254</c:v>
                      </c:pt>
                      <c:pt idx="20">
                        <c:v>380.47284319130461</c:v>
                      </c:pt>
                      <c:pt idx="21">
                        <c:v>249.63268453557146</c:v>
                      </c:pt>
                      <c:pt idx="22">
                        <c:v>226.05266724053357</c:v>
                      </c:pt>
                      <c:pt idx="23">
                        <c:v>264.68753154045896</c:v>
                      </c:pt>
                      <c:pt idx="24">
                        <c:v>322.58963699208357</c:v>
                      </c:pt>
                      <c:pt idx="25">
                        <c:v>404.49073150664435</c:v>
                      </c:pt>
                      <c:pt idx="26">
                        <c:v>400.18382994743166</c:v>
                      </c:pt>
                      <c:pt idx="27">
                        <c:v>232.04161869800376</c:v>
                      </c:pt>
                      <c:pt idx="28">
                        <c:v>406.81818181818181</c:v>
                      </c:pt>
                      <c:pt idx="29">
                        <c:v>258.33805613673258</c:v>
                      </c:pt>
                      <c:pt idx="30">
                        <c:v>387.74340771304918</c:v>
                      </c:pt>
                      <c:pt idx="31">
                        <c:v>321.13423141688719</c:v>
                      </c:pt>
                      <c:pt idx="32">
                        <c:v>1315.3005104421818</c:v>
                      </c:pt>
                      <c:pt idx="33">
                        <c:v>281.32675916457544</c:v>
                      </c:pt>
                      <c:pt idx="34">
                        <c:v>384.49821561750724</c:v>
                      </c:pt>
                      <c:pt idx="35">
                        <c:v>398.94266051179977</c:v>
                      </c:pt>
                      <c:pt idx="36">
                        <c:v>178.69415807560139</c:v>
                      </c:pt>
                      <c:pt idx="37">
                        <c:v>0</c:v>
                      </c:pt>
                      <c:pt idx="38">
                        <c:v>393.45100995441476</c:v>
                      </c:pt>
                      <c:pt idx="39">
                        <c:v>284.46931163106137</c:v>
                      </c:pt>
                      <c:pt idx="40">
                        <c:v>366.21602235710282</c:v>
                      </c:pt>
                      <c:pt idx="41">
                        <c:v>1132.3979192318661</c:v>
                      </c:pt>
                      <c:pt idx="42">
                        <c:v>375.04012195179683</c:v>
                      </c:pt>
                      <c:pt idx="43">
                        <c:v>395.57312030931502</c:v>
                      </c:pt>
                      <c:pt idx="44">
                        <c:v>394.14656750474091</c:v>
                      </c:pt>
                      <c:pt idx="45">
                        <c:v>275.96848677570051</c:v>
                      </c:pt>
                      <c:pt idx="46">
                        <c:v>418.63708571875645</c:v>
                      </c:pt>
                      <c:pt idx="47">
                        <c:v>373.10171461386358</c:v>
                      </c:pt>
                      <c:pt idx="48">
                        <c:v>370.52096486727464</c:v>
                      </c:pt>
                    </c:numCache>
                  </c:numRef>
                </c:val>
                <c:extLst xmlns:c15="http://schemas.microsoft.com/office/drawing/2012/chart">
                  <c:ext xmlns:c16="http://schemas.microsoft.com/office/drawing/2014/chart" uri="{C3380CC4-5D6E-409C-BE32-E72D297353CC}">
                    <c16:uniqueId val="{00000003-698B-4BED-9D94-37BC20D1AC36}"/>
                  </c:ext>
                </c:extLst>
              </c15:ser>
            </c15:filteredBarSeries>
            <c15:filteredBarSeries>
              <c15:ser>
                <c:idx val="4"/>
                <c:order val="4"/>
                <c:spPr>
                  <a:solidFill>
                    <a:schemeClr val="accent5"/>
                  </a:solidFill>
                  <a:ln>
                    <a:noFill/>
                  </a:ln>
                  <a:effectLst/>
                </c:spPr>
                <c:invertIfNegative val="0"/>
                <c:cat>
                  <c:numLit>
                    <c:formatCode>General</c:formatCode>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numLit>
                </c:cat>
                <c:val>
                  <c:numRef>
                    <c:extLst xmlns:c15="http://schemas.microsoft.com/office/drawing/2012/chart">
                      <c:ext xmlns:c15="http://schemas.microsoft.com/office/drawing/2012/chart" uri="{02D57815-91ED-43cb-92C2-25804820EDAC}">
                        <c15:formulaRef>
                          <c15:sqref>'Analisi dati, formula corretta'!$BA$3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4-698B-4BED-9D94-37BC20D1AC36}"/>
                  </c:ext>
                </c:extLst>
              </c15:ser>
            </c15:filteredBarSeries>
            <c15:filteredBarSeries>
              <c15:ser>
                <c:idx val="5"/>
                <c:order val="5"/>
                <c:spPr>
                  <a:solidFill>
                    <a:schemeClr val="accent6"/>
                  </a:solidFill>
                  <a:ln>
                    <a:noFill/>
                  </a:ln>
                  <a:effectLst/>
                </c:spPr>
                <c:invertIfNegative val="0"/>
                <c:cat>
                  <c:numLit>
                    <c:formatCode>General</c:formatCode>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numLit>
                </c:cat>
                <c:val>
                  <c:numRef>
                    <c:extLst xmlns:c15="http://schemas.microsoft.com/office/drawing/2012/chart">
                      <c:ext xmlns:c15="http://schemas.microsoft.com/office/drawing/2012/chart" uri="{02D57815-91ED-43cb-92C2-25804820EDAC}">
                        <c15:formulaRef>
                          <c15:sqref>'Analisi dati, formula corretta'!$BB$3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5-698B-4BED-9D94-37BC20D1AC36}"/>
                  </c:ext>
                </c:extLst>
              </c15:ser>
            </c15:filteredBarSeries>
          </c:ext>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 generali delle emissioni specifiche delle centrali di cogenerazione (SOx</a:t>
            </a:r>
            <a:r>
              <a:rPr lang="it-IT"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pieChart>
        <c:varyColors val="1"/>
        <c:ser>
          <c:idx val="0"/>
          <c:order val="0"/>
          <c:dPt>
            <c:idx val="0"/>
            <c:bubble3D val="0"/>
            <c:spPr>
              <a:solidFill>
                <a:srgbClr val="FF0000"/>
              </a:solidFill>
              <a:ln>
                <a:noFill/>
              </a:ln>
              <a:effectLst/>
            </c:spPr>
            <c:extLst>
              <c:ext xmlns:c16="http://schemas.microsoft.com/office/drawing/2014/chart" uri="{C3380CC4-5D6E-409C-BE32-E72D297353CC}">
                <c16:uniqueId val="{00000001-03A2-48AD-8D43-4D7929393F51}"/>
              </c:ext>
            </c:extLst>
          </c:dPt>
          <c:dPt>
            <c:idx val="1"/>
            <c:bubble3D val="0"/>
            <c:spPr>
              <a:solidFill>
                <a:srgbClr val="92D050"/>
              </a:solidFill>
              <a:ln>
                <a:noFill/>
              </a:ln>
              <a:effectLst/>
            </c:spPr>
            <c:extLst>
              <c:ext xmlns:c16="http://schemas.microsoft.com/office/drawing/2014/chart" uri="{C3380CC4-5D6E-409C-BE32-E72D297353CC}">
                <c16:uniqueId val="{00000003-03A2-48AD-8D43-4D7929393F5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'Analisi dati, formula corretta'!$BH$54:$BH$55</c:f>
              <c:strCache>
                <c:ptCount val="2"/>
                <c:pt idx="0">
                  <c:v>Incremento emissioni specifiche</c:v>
                </c:pt>
                <c:pt idx="1">
                  <c:v>Diminuzione emissioni specifiche</c:v>
                </c:pt>
              </c:strCache>
            </c:strRef>
          </c:cat>
          <c:val>
            <c:numRef>
              <c:f>'Analisi dati, formula corretta'!$FP$217:$FP$218</c:f>
              <c:numCache>
                <c:formatCode>General</c:formatCode>
                <c:ptCount val="2"/>
                <c:pt idx="0">
                  <c:v>1</c:v>
                </c:pt>
                <c:pt idx="1">
                  <c:v>3</c:v>
                </c:pt>
              </c:numCache>
            </c:numRef>
          </c:val>
          <c:extLst>
            <c:ext xmlns:c16="http://schemas.microsoft.com/office/drawing/2014/chart" uri="{C3380CC4-5D6E-409C-BE32-E72D297353CC}">
              <c16:uniqueId val="{00000006-03A2-48AD-8D43-4D7929393F51}"/>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 generali delle emissioni specifiche delle centrali</a:t>
            </a:r>
            <a:r>
              <a:rPr lang="it-IT" baseline="0"/>
              <a:t> di cogenerazione </a:t>
            </a:r>
            <a:r>
              <a:rPr lang="it-IT"/>
              <a:t>(NOx</a:t>
            </a:r>
            <a:r>
              <a:rPr lang="it-IT"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pieChart>
        <c:varyColors val="1"/>
        <c:ser>
          <c:idx val="0"/>
          <c:order val="0"/>
          <c:dPt>
            <c:idx val="0"/>
            <c:bubble3D val="0"/>
            <c:spPr>
              <a:solidFill>
                <a:srgbClr val="FF0000"/>
              </a:solidFill>
              <a:ln>
                <a:noFill/>
              </a:ln>
              <a:effectLst/>
            </c:spPr>
            <c:extLst>
              <c:ext xmlns:c16="http://schemas.microsoft.com/office/drawing/2014/chart" uri="{C3380CC4-5D6E-409C-BE32-E72D297353CC}">
                <c16:uniqueId val="{00000001-E760-44EB-8F69-9944F1D4FF87}"/>
              </c:ext>
            </c:extLst>
          </c:dPt>
          <c:dPt>
            <c:idx val="1"/>
            <c:bubble3D val="0"/>
            <c:spPr>
              <a:solidFill>
                <a:srgbClr val="92D050"/>
              </a:solidFill>
              <a:ln>
                <a:noFill/>
              </a:ln>
              <a:effectLst/>
            </c:spPr>
            <c:extLst>
              <c:ext xmlns:c16="http://schemas.microsoft.com/office/drawing/2014/chart" uri="{C3380CC4-5D6E-409C-BE32-E72D297353CC}">
                <c16:uniqueId val="{00000003-E760-44EB-8F69-9944F1D4FF8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'Analisi dati, formula corretta'!$BH$54:$BH$55</c15:sqref>
                  </c15:fullRef>
                </c:ext>
              </c:extLst>
              <c:f>'Analisi dati, formula corretta'!$BH$54:$BH$55</c:f>
              <c:strCache>
                <c:ptCount val="2"/>
                <c:pt idx="0">
                  <c:v>Incremento emissioni specifiche</c:v>
                </c:pt>
                <c:pt idx="1">
                  <c:v>Diminuzione emissioni specifiche</c:v>
                </c:pt>
              </c:strCache>
            </c:strRef>
          </c:cat>
          <c:val>
            <c:numRef>
              <c:extLst>
                <c:ext xmlns:c15="http://schemas.microsoft.com/office/drawing/2012/chart" uri="{02D57815-91ED-43cb-92C2-25804820EDAC}">
                  <c15:fullRef>
                    <c15:sqref>'Analisi dati, formula corretta'!$BP$212:$BP$214</c15:sqref>
                  </c15:fullRef>
                </c:ext>
              </c:extLst>
              <c:f>'Analisi dati, formula corretta'!$BP$212:$BP$213</c:f>
              <c:numCache>
                <c:formatCode>General</c:formatCode>
                <c:ptCount val="2"/>
                <c:pt idx="0">
                  <c:v>6</c:v>
                </c:pt>
                <c:pt idx="1">
                  <c:v>12</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6-E760-44EB-8F69-9944F1D4FF87}"/>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delle centrali di cogenerazione (CO</a:t>
            </a:r>
            <a:r>
              <a:rPr lang="it-IT" baseline="-25000"/>
              <a:t>2</a:t>
            </a:r>
            <a:r>
              <a:rPr lang="it-IT" baseline="0"/>
              <a:t>)</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0"/>
          <c:order val="0"/>
          <c:tx>
            <c:v>2011</c:v>
          </c:tx>
          <c:spPr>
            <a:solidFill>
              <a:schemeClr val="accent1"/>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corretta'!$AT$4:$AT$52</c15:sqref>
                  </c15:fullRef>
                </c:ext>
              </c:extLst>
              <c:f>('Analisi dati, formula corretta'!$AT$5,'Analisi dati, formula corretta'!$AT$8,'Analisi dati, formula corretta'!$AT$22,'Analisi dati, formula corretta'!$AT$25:$AT$28,'Analisi dati, formula corretta'!$AT$31,'Analisi dati, formula corretta'!$AT$33,'Analisi dati, formula corretta'!$AT$35,'Analisi dati, formula corretta'!$AT$37,'Analisi dati, formula corretta'!$AT$40,'Analisi dati, formula corretta'!$AT$43:$AT$44,'Analisi dati, formula corretta'!$AT$47,'Analisi dati, formula corretta'!$AT$49:$AT$50,'Analisi dati, formula corretta'!$AT$52)</c:f>
              <c:numCache>
                <c:formatCode>#,##0.00</c:formatCode>
                <c:ptCount val="18"/>
                <c:pt idx="0">
                  <c:v>392</c:v>
                </c:pt>
                <c:pt idx="1">
                  <c:v>332.96373779637378</c:v>
                </c:pt>
                <c:pt idx="2">
                  <c:v>283.97888085141767</c:v>
                </c:pt>
                <c:pt idx="3">
                  <c:v>256.09003772815339</c:v>
                </c:pt>
                <c:pt idx="4">
                  <c:v>284.33710325550567</c:v>
                </c:pt>
                <c:pt idx="5">
                  <c:v>305.79262838685275</c:v>
                </c:pt>
                <c:pt idx="6">
                  <c:v>336.97943274677226</c:v>
                </c:pt>
                <c:pt idx="7">
                  <c:v>246.77544991957592</c:v>
                </c:pt>
                <c:pt idx="8">
                  <c:v>263.85704444741469</c:v>
                </c:pt>
                <c:pt idx="9">
                  <c:v>308.34670976851334</c:v>
                </c:pt>
                <c:pt idx="10">
                  <c:v>395.69140506954216</c:v>
                </c:pt>
                <c:pt idx="11">
                  <c:v>0</c:v>
                </c:pt>
                <c:pt idx="12">
                  <c:v>0</c:v>
                </c:pt>
                <c:pt idx="13">
                  <c:v>374.69623570932981</c:v>
                </c:pt>
                <c:pt idx="14">
                  <c:v>450.3345885511103</c:v>
                </c:pt>
                <c:pt idx="15">
                  <c:v>303.09496964362853</c:v>
                </c:pt>
                <c:pt idx="16">
                  <c:v>0</c:v>
                </c:pt>
                <c:pt idx="17">
                  <c:v>0</c:v>
                </c:pt>
              </c:numCache>
            </c:numRef>
          </c:val>
          <c:extLst>
            <c:ext xmlns:c16="http://schemas.microsoft.com/office/drawing/2014/chart" uri="{C3380CC4-5D6E-409C-BE32-E72D297353CC}">
              <c16:uniqueId val="{00000000-ACD2-412D-BD7A-5C9A753786C6}"/>
            </c:ext>
          </c:extLst>
        </c:ser>
        <c:ser>
          <c:idx val="1"/>
          <c:order val="1"/>
          <c:tx>
            <c:v>2012</c:v>
          </c:tx>
          <c:spPr>
            <a:solidFill>
              <a:schemeClr val="accent2"/>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corretta'!$AU$4:$AU$52</c15:sqref>
                  </c15:fullRef>
                </c:ext>
              </c:extLst>
              <c:f>('Analisi dati, formula corretta'!$AU$5,'Analisi dati, formula corretta'!$AU$8,'Analisi dati, formula corretta'!$AU$22,'Analisi dati, formula corretta'!$AU$25:$AU$28,'Analisi dati, formula corretta'!$AU$31,'Analisi dati, formula corretta'!$AU$33,'Analisi dati, formula corretta'!$AU$35,'Analisi dati, formula corretta'!$AU$37,'Analisi dati, formula corretta'!$AU$40,'Analisi dati, formula corretta'!$AU$43:$AU$44,'Analisi dati, formula corretta'!$AU$47,'Analisi dati, formula corretta'!$AU$49:$AU$50,'Analisi dati, formula corretta'!$AU$52)</c:f>
              <c:numCache>
                <c:formatCode>#,##0.00</c:formatCode>
                <c:ptCount val="18"/>
                <c:pt idx="0">
                  <c:v>393.10344827586209</c:v>
                </c:pt>
                <c:pt idx="1">
                  <c:v>329.57771664374138</c:v>
                </c:pt>
                <c:pt idx="2">
                  <c:v>272.37917440582231</c:v>
                </c:pt>
                <c:pt idx="3">
                  <c:v>250.55366786946598</c:v>
                </c:pt>
                <c:pt idx="4">
                  <c:v>276.77636636639573</c:v>
                </c:pt>
                <c:pt idx="5">
                  <c:v>294.82904596730492</c:v>
                </c:pt>
                <c:pt idx="6">
                  <c:v>330.21051401765925</c:v>
                </c:pt>
                <c:pt idx="7">
                  <c:v>253.70579808489785</c:v>
                </c:pt>
                <c:pt idx="8">
                  <c:v>261.92564287280356</c:v>
                </c:pt>
                <c:pt idx="9">
                  <c:v>299.69568113588042</c:v>
                </c:pt>
                <c:pt idx="10">
                  <c:v>409.39572628290733</c:v>
                </c:pt>
                <c:pt idx="11">
                  <c:v>0</c:v>
                </c:pt>
                <c:pt idx="12">
                  <c:v>586.66765873015868</c:v>
                </c:pt>
                <c:pt idx="13">
                  <c:v>369.6678808369054</c:v>
                </c:pt>
                <c:pt idx="14">
                  <c:v>458.08780703128593</c:v>
                </c:pt>
                <c:pt idx="15">
                  <c:v>307.72331272343132</c:v>
                </c:pt>
                <c:pt idx="16">
                  <c:v>0</c:v>
                </c:pt>
                <c:pt idx="17">
                  <c:v>378.51711102626177</c:v>
                </c:pt>
              </c:numCache>
            </c:numRef>
          </c:val>
          <c:extLst>
            <c:ext xmlns:c16="http://schemas.microsoft.com/office/drawing/2014/chart" uri="{C3380CC4-5D6E-409C-BE32-E72D297353CC}">
              <c16:uniqueId val="{00000001-ACD2-412D-BD7A-5C9A753786C6}"/>
            </c:ext>
          </c:extLst>
        </c:ser>
        <c:ser>
          <c:idx val="2"/>
          <c:order val="2"/>
          <c:tx>
            <c:v>2013</c:v>
          </c:tx>
          <c:spPr>
            <a:solidFill>
              <a:schemeClr val="accent3"/>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corretta'!$AV$4:$AV$52</c15:sqref>
                  </c15:fullRef>
                </c:ext>
              </c:extLst>
              <c:f>('Analisi dati, formula corretta'!$AV$5,'Analisi dati, formula corretta'!$AV$8,'Analisi dati, formula corretta'!$AV$22,'Analisi dati, formula corretta'!$AV$25:$AV$28,'Analisi dati, formula corretta'!$AV$31,'Analisi dati, formula corretta'!$AV$33,'Analisi dati, formula corretta'!$AV$35,'Analisi dati, formula corretta'!$AV$37,'Analisi dati, formula corretta'!$AV$40,'Analisi dati, formula corretta'!$AV$43:$AV$44,'Analisi dati, formula corretta'!$AV$47,'Analisi dati, formula corretta'!$AV$49:$AV$50,'Analisi dati, formula corretta'!$AV$52)</c:f>
              <c:numCache>
                <c:formatCode>#,##0.00</c:formatCode>
                <c:ptCount val="18"/>
                <c:pt idx="0">
                  <c:v>401.45985401459853</c:v>
                </c:pt>
                <c:pt idx="1">
                  <c:v>342.19692737430165</c:v>
                </c:pt>
                <c:pt idx="2">
                  <c:v>270.99669432870769</c:v>
                </c:pt>
                <c:pt idx="3">
                  <c:v>247.01207046092847</c:v>
                </c:pt>
                <c:pt idx="4">
                  <c:v>259.82872881128208</c:v>
                </c:pt>
                <c:pt idx="5">
                  <c:v>287.5274771350301</c:v>
                </c:pt>
                <c:pt idx="6">
                  <c:v>320.00838185784283</c:v>
                </c:pt>
                <c:pt idx="7">
                  <c:v>219.97609738812915</c:v>
                </c:pt>
                <c:pt idx="8">
                  <c:v>262.97357529449221</c:v>
                </c:pt>
                <c:pt idx="9">
                  <c:v>309.96613012944516</c:v>
                </c:pt>
                <c:pt idx="10">
                  <c:v>399.19196048590959</c:v>
                </c:pt>
                <c:pt idx="11">
                  <c:v>0</c:v>
                </c:pt>
                <c:pt idx="12">
                  <c:v>314.26551287463064</c:v>
                </c:pt>
                <c:pt idx="13">
                  <c:v>371.95867524005297</c:v>
                </c:pt>
                <c:pt idx="14">
                  <c:v>442.18017376574215</c:v>
                </c:pt>
                <c:pt idx="15">
                  <c:v>305.67545286985575</c:v>
                </c:pt>
                <c:pt idx="16">
                  <c:v>439.27471930459978</c:v>
                </c:pt>
                <c:pt idx="17">
                  <c:v>380.44213709186511</c:v>
                </c:pt>
              </c:numCache>
            </c:numRef>
          </c:val>
          <c:extLst>
            <c:ext xmlns:c16="http://schemas.microsoft.com/office/drawing/2014/chart" uri="{C3380CC4-5D6E-409C-BE32-E72D297353CC}">
              <c16:uniqueId val="{00000002-ACD2-412D-BD7A-5C9A753786C6}"/>
            </c:ext>
          </c:extLst>
        </c:ser>
        <c:ser>
          <c:idx val="3"/>
          <c:order val="3"/>
          <c:tx>
            <c:v>2014</c:v>
          </c:tx>
          <c:spPr>
            <a:solidFill>
              <a:schemeClr val="accent4"/>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corretta'!$AW$4:$AW$52</c15:sqref>
                  </c15:fullRef>
                </c:ext>
              </c:extLst>
              <c:f>('Analisi dati, formula corretta'!$AW$5,'Analisi dati, formula corretta'!$AW$8,'Analisi dati, formula corretta'!$AW$22,'Analisi dati, formula corretta'!$AW$25:$AW$28,'Analisi dati, formula corretta'!$AW$31,'Analisi dati, formula corretta'!$AW$33,'Analisi dati, formula corretta'!$AW$35,'Analisi dati, formula corretta'!$AW$37,'Analisi dati, formula corretta'!$AW$40,'Analisi dati, formula corretta'!$AW$43:$AW$44,'Analisi dati, formula corretta'!$AW$47,'Analisi dati, formula corretta'!$AW$49:$AW$50,'Analisi dati, formula corretta'!$AW$52)</c:f>
              <c:numCache>
                <c:formatCode>#,##0.00</c:formatCode>
                <c:ptCount val="18"/>
                <c:pt idx="0">
                  <c:v>415.47277936962752</c:v>
                </c:pt>
                <c:pt idx="1">
                  <c:v>368.16159695817493</c:v>
                </c:pt>
                <c:pt idx="2">
                  <c:v>259.82009735907627</c:v>
                </c:pt>
                <c:pt idx="3">
                  <c:v>245.16108953291507</c:v>
                </c:pt>
                <c:pt idx="4">
                  <c:v>249.3100088589444</c:v>
                </c:pt>
                <c:pt idx="5">
                  <c:v>284.1943231590372</c:v>
                </c:pt>
                <c:pt idx="6">
                  <c:v>309.9667843972922</c:v>
                </c:pt>
                <c:pt idx="7">
                  <c:v>256.55982757421953</c:v>
                </c:pt>
                <c:pt idx="8">
                  <c:v>262.52177928920798</c:v>
                </c:pt>
                <c:pt idx="9">
                  <c:v>299.30638850632619</c:v>
                </c:pt>
                <c:pt idx="10">
                  <c:v>270.3193128946682</c:v>
                </c:pt>
                <c:pt idx="11">
                  <c:v>0</c:v>
                </c:pt>
                <c:pt idx="12">
                  <c:v>301.57371581054036</c:v>
                </c:pt>
                <c:pt idx="13">
                  <c:v>374.0066004530953</c:v>
                </c:pt>
                <c:pt idx="14">
                  <c:v>438.97122883788938</c:v>
                </c:pt>
                <c:pt idx="15">
                  <c:v>294.72063267423914</c:v>
                </c:pt>
                <c:pt idx="16">
                  <c:v>517.28965936515544</c:v>
                </c:pt>
                <c:pt idx="17">
                  <c:v>376.59227515144829</c:v>
                </c:pt>
              </c:numCache>
            </c:numRef>
          </c:val>
          <c:extLst>
            <c:ext xmlns:c16="http://schemas.microsoft.com/office/drawing/2014/chart" uri="{C3380CC4-5D6E-409C-BE32-E72D297353CC}">
              <c16:uniqueId val="{00000003-ACD2-412D-BD7A-5C9A753786C6}"/>
            </c:ext>
          </c:extLst>
        </c:ser>
        <c:ser>
          <c:idx val="4"/>
          <c:order val="4"/>
          <c:tx>
            <c:v>2015</c:v>
          </c:tx>
          <c:spPr>
            <a:solidFill>
              <a:schemeClr val="accent5"/>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corretta'!$AX$4:$AX$52</c15:sqref>
                  </c15:fullRef>
                </c:ext>
              </c:extLst>
              <c:f>('Analisi dati, formula corretta'!$AX$5,'Analisi dati, formula corretta'!$AX$8,'Analisi dati, formula corretta'!$AX$22,'Analisi dati, formula corretta'!$AX$25:$AX$28,'Analisi dati, formula corretta'!$AX$31,'Analisi dati, formula corretta'!$AX$33,'Analisi dati, formula corretta'!$AX$35,'Analisi dati, formula corretta'!$AX$37,'Analisi dati, formula corretta'!$AX$40,'Analisi dati, formula corretta'!$AX$43:$AX$44,'Analisi dati, formula corretta'!$AX$47,'Analisi dati, formula corretta'!$AX$49:$AX$50,'Analisi dati, formula corretta'!$AX$52)</c:f>
              <c:numCache>
                <c:formatCode>#,##0.00</c:formatCode>
                <c:ptCount val="18"/>
                <c:pt idx="0">
                  <c:v>424.14355628058729</c:v>
                </c:pt>
                <c:pt idx="1">
                  <c:v>366.74080267558526</c:v>
                </c:pt>
                <c:pt idx="2">
                  <c:v>283.71083839754556</c:v>
                </c:pt>
                <c:pt idx="3">
                  <c:v>248.44958587172292</c:v>
                </c:pt>
                <c:pt idx="4">
                  <c:v>239.57722995200325</c:v>
                </c:pt>
                <c:pt idx="5">
                  <c:v>276.14481117226762</c:v>
                </c:pt>
                <c:pt idx="6">
                  <c:v>319.691634329728</c:v>
                </c:pt>
                <c:pt idx="7">
                  <c:v>255.43596225788741</c:v>
                </c:pt>
                <c:pt idx="8">
                  <c:v>257.86845105125678</c:v>
                </c:pt>
                <c:pt idx="9">
                  <c:v>296.59218350572007</c:v>
                </c:pt>
                <c:pt idx="10">
                  <c:v>272.01888597769812</c:v>
                </c:pt>
                <c:pt idx="11">
                  <c:v>0</c:v>
                </c:pt>
                <c:pt idx="12">
                  <c:v>272.93562101427273</c:v>
                </c:pt>
                <c:pt idx="13">
                  <c:v>370.99308523691974</c:v>
                </c:pt>
                <c:pt idx="14">
                  <c:v>425.42252588704594</c:v>
                </c:pt>
                <c:pt idx="15">
                  <c:v>294.14126408033547</c:v>
                </c:pt>
                <c:pt idx="16">
                  <c:v>507.59794605793661</c:v>
                </c:pt>
                <c:pt idx="17">
                  <c:v>370.99308523691974</c:v>
                </c:pt>
              </c:numCache>
            </c:numRef>
          </c:val>
          <c:extLst>
            <c:ext xmlns:c16="http://schemas.microsoft.com/office/drawing/2014/chart" uri="{C3380CC4-5D6E-409C-BE32-E72D297353CC}">
              <c16:uniqueId val="{00000004-ACD2-412D-BD7A-5C9A753786C6}"/>
            </c:ext>
          </c:extLst>
        </c:ser>
        <c:ser>
          <c:idx val="5"/>
          <c:order val="5"/>
          <c:tx>
            <c:v>2016</c:v>
          </c:tx>
          <c:spPr>
            <a:solidFill>
              <a:schemeClr val="accent6"/>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corretta'!$AY$4:$AY$52</c15:sqref>
                  </c15:fullRef>
                </c:ext>
              </c:extLst>
              <c:f>('Analisi dati, formula corretta'!$AY$5,'Analisi dati, formula corretta'!$AY$8,'Analisi dati, formula corretta'!$AY$22,'Analisi dati, formula corretta'!$AY$25:$AY$28,'Analisi dati, formula corretta'!$AY$31,'Analisi dati, formula corretta'!$AY$33,'Analisi dati, formula corretta'!$AY$35,'Analisi dati, formula corretta'!$AY$37,'Analisi dati, formula corretta'!$AY$40,'Analisi dati, formula corretta'!$AY$43:$AY$44,'Analisi dati, formula corretta'!$AY$47,'Analisi dati, formula corretta'!$AY$49:$AY$50,'Analisi dati, formula corretta'!$AY$52)</c:f>
              <c:numCache>
                <c:formatCode>#,##0.00</c:formatCode>
                <c:ptCount val="18"/>
                <c:pt idx="0">
                  <c:v>408.16326530612247</c:v>
                </c:pt>
                <c:pt idx="1">
                  <c:v>434.19320594479831</c:v>
                </c:pt>
                <c:pt idx="2">
                  <c:v>286.95366319402478</c:v>
                </c:pt>
                <c:pt idx="3">
                  <c:v>250.08387364528534</c:v>
                </c:pt>
                <c:pt idx="4">
                  <c:v>269.20104362646759</c:v>
                </c:pt>
                <c:pt idx="5">
                  <c:v>263.28894378082333</c:v>
                </c:pt>
                <c:pt idx="6">
                  <c:v>315.16280533357775</c:v>
                </c:pt>
                <c:pt idx="7">
                  <c:v>238.20299843135237</c:v>
                </c:pt>
                <c:pt idx="8">
                  <c:v>257.01215717190161</c:v>
                </c:pt>
                <c:pt idx="9">
                  <c:v>300.87940322040481</c:v>
                </c:pt>
                <c:pt idx="10">
                  <c:v>261.02591232590254</c:v>
                </c:pt>
                <c:pt idx="11">
                  <c:v>173.01178012277364</c:v>
                </c:pt>
                <c:pt idx="12">
                  <c:v>275.70053644682866</c:v>
                </c:pt>
                <c:pt idx="13">
                  <c:v>368.74767516868269</c:v>
                </c:pt>
                <c:pt idx="14">
                  <c:v>410.85404164444236</c:v>
                </c:pt>
                <c:pt idx="15">
                  <c:v>296.04807446924866</c:v>
                </c:pt>
                <c:pt idx="16">
                  <c:v>420.42260378460844</c:v>
                </c:pt>
                <c:pt idx="17">
                  <c:v>368.74767516868269</c:v>
                </c:pt>
              </c:numCache>
            </c:numRef>
          </c:val>
          <c:extLst>
            <c:ext xmlns:c16="http://schemas.microsoft.com/office/drawing/2014/chart" uri="{C3380CC4-5D6E-409C-BE32-E72D297353CC}">
              <c16:uniqueId val="{00000005-ACD2-412D-BD7A-5C9A753786C6}"/>
            </c:ext>
          </c:extLst>
        </c:ser>
        <c:ser>
          <c:idx val="6"/>
          <c:order val="6"/>
          <c:tx>
            <c:v>2017</c:v>
          </c:tx>
          <c:spPr>
            <a:solidFill>
              <a:schemeClr val="accent1">
                <a:lumMod val="60000"/>
              </a:schemeClr>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corretta'!$AZ$4:$AZ$52</c15:sqref>
                  </c15:fullRef>
                </c:ext>
              </c:extLst>
              <c:f>('Analisi dati, formula corretta'!$AZ$5,'Analisi dati, formula corretta'!$AZ$8,'Analisi dati, formula corretta'!$AZ$22,'Analisi dati, formula corretta'!$AZ$25:$AZ$28,'Analisi dati, formula corretta'!$AZ$31,'Analisi dati, formula corretta'!$AZ$33,'Analisi dati, formula corretta'!$AZ$35,'Analisi dati, formula corretta'!$AZ$37,'Analisi dati, formula corretta'!$AZ$40,'Analisi dati, formula corretta'!$AZ$43:$AZ$44,'Analisi dati, formula corretta'!$AZ$47,'Analisi dati, formula corretta'!$AZ$49:$AZ$50,'Analisi dati, formula corretta'!$AZ$52)</c:f>
              <c:numCache>
                <c:formatCode>#,##0.00</c:formatCode>
                <c:ptCount val="18"/>
                <c:pt idx="0">
                  <c:v>405.35909752359856</c:v>
                </c:pt>
                <c:pt idx="1">
                  <c:v>371</c:v>
                </c:pt>
                <c:pt idx="2">
                  <c:v>281.57096027767068</c:v>
                </c:pt>
                <c:pt idx="3">
                  <c:v>248.44577280114868</c:v>
                </c:pt>
                <c:pt idx="4">
                  <c:v>245.27063673896387</c:v>
                </c:pt>
                <c:pt idx="5">
                  <c:v>267.09954756699329</c:v>
                </c:pt>
                <c:pt idx="6">
                  <c:v>324.73430023149348</c:v>
                </c:pt>
                <c:pt idx="7">
                  <c:v>231.55753233807644</c:v>
                </c:pt>
                <c:pt idx="8">
                  <c:v>259.06890130353821</c:v>
                </c:pt>
                <c:pt idx="9">
                  <c:v>287.65724699772517</c:v>
                </c:pt>
                <c:pt idx="10">
                  <c:v>283.14788261666286</c:v>
                </c:pt>
                <c:pt idx="11">
                  <c:v>208.95619422805078</c:v>
                </c:pt>
                <c:pt idx="12">
                  <c:v>276.88581081081082</c:v>
                </c:pt>
                <c:pt idx="13">
                  <c:v>363.98177657120243</c:v>
                </c:pt>
                <c:pt idx="14">
                  <c:v>415.55262710861052</c:v>
                </c:pt>
                <c:pt idx="15">
                  <c:v>289.6468877718379</c:v>
                </c:pt>
                <c:pt idx="16">
                  <c:v>453.52286643300533</c:v>
                </c:pt>
                <c:pt idx="17">
                  <c:v>378.75641083670774</c:v>
                </c:pt>
              </c:numCache>
            </c:numRef>
          </c:val>
          <c:extLst>
            <c:ext xmlns:c16="http://schemas.microsoft.com/office/drawing/2014/chart" uri="{C3380CC4-5D6E-409C-BE32-E72D297353CC}">
              <c16:uniqueId val="{00000006-ACD2-412D-BD7A-5C9A753786C6}"/>
            </c:ext>
          </c:extLst>
        </c:ser>
        <c:ser>
          <c:idx val="7"/>
          <c:order val="7"/>
          <c:tx>
            <c:v>2018</c:v>
          </c:tx>
          <c:spPr>
            <a:solidFill>
              <a:schemeClr val="accent2">
                <a:lumMod val="60000"/>
              </a:schemeClr>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corretta'!$BA$4:$BA$52</c15:sqref>
                  </c15:fullRef>
                </c:ext>
              </c:extLst>
              <c:f>('Analisi dati, formula corretta'!$BA$5,'Analisi dati, formula corretta'!$BA$8,'Analisi dati, formula corretta'!$BA$22,'Analisi dati, formula corretta'!$BA$25:$BA$28,'Analisi dati, formula corretta'!$BA$31,'Analisi dati, formula corretta'!$BA$33,'Analisi dati, formula corretta'!$BA$35,'Analisi dati, formula corretta'!$BA$37,'Analisi dati, formula corretta'!$BA$40,'Analisi dati, formula corretta'!$BA$43:$BA$44,'Analisi dati, formula corretta'!$BA$47,'Analisi dati, formula corretta'!$BA$49:$BA$50,'Analisi dati, formula corretta'!$BA$52)</c:f>
              <c:numCache>
                <c:formatCode>#,##0.00</c:formatCode>
                <c:ptCount val="18"/>
                <c:pt idx="0">
                  <c:v>409.58238022968067</c:v>
                </c:pt>
                <c:pt idx="1">
                  <c:v>371</c:v>
                </c:pt>
                <c:pt idx="2">
                  <c:v>298.59904118544347</c:v>
                </c:pt>
                <c:pt idx="3">
                  <c:v>247.8819510806058</c:v>
                </c:pt>
                <c:pt idx="4">
                  <c:v>231.51000417853015</c:v>
                </c:pt>
                <c:pt idx="5">
                  <c:v>268.02066743883017</c:v>
                </c:pt>
                <c:pt idx="6">
                  <c:v>319.05597837364905</c:v>
                </c:pt>
                <c:pt idx="7">
                  <c:v>226.53597176454846</c:v>
                </c:pt>
                <c:pt idx="8">
                  <c:v>264.37665769244217</c:v>
                </c:pt>
                <c:pt idx="9">
                  <c:v>346.91898585325868</c:v>
                </c:pt>
                <c:pt idx="10">
                  <c:v>284.14168604159806</c:v>
                </c:pt>
                <c:pt idx="11">
                  <c:v>236.84385824673595</c:v>
                </c:pt>
                <c:pt idx="12">
                  <c:v>275.68735855156808</c:v>
                </c:pt>
                <c:pt idx="13">
                  <c:v>366.7633781033324</c:v>
                </c:pt>
                <c:pt idx="14">
                  <c:v>399.3525124299793</c:v>
                </c:pt>
                <c:pt idx="15">
                  <c:v>279.38215946467051</c:v>
                </c:pt>
                <c:pt idx="16">
                  <c:v>430.55219855054116</c:v>
                </c:pt>
                <c:pt idx="17">
                  <c:v>379.23259748048815</c:v>
                </c:pt>
              </c:numCache>
            </c:numRef>
          </c:val>
          <c:extLst>
            <c:ext xmlns:c16="http://schemas.microsoft.com/office/drawing/2014/chart" uri="{C3380CC4-5D6E-409C-BE32-E72D297353CC}">
              <c16:uniqueId val="{00000007-ACD2-412D-BD7A-5C9A753786C6}"/>
            </c:ext>
          </c:extLst>
        </c:ser>
        <c:ser>
          <c:idx val="8"/>
          <c:order val="8"/>
          <c:tx>
            <c:v>2019</c:v>
          </c:tx>
          <c:spPr>
            <a:solidFill>
              <a:schemeClr val="accent3">
                <a:lumMod val="60000"/>
              </a:schemeClr>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corretta'!$BB$4:$BB$52</c15:sqref>
                  </c15:fullRef>
                </c:ext>
              </c:extLst>
              <c:f>('Analisi dati, formula corretta'!$BB$5,'Analisi dati, formula corretta'!$BB$8,'Analisi dati, formula corretta'!$BB$22,'Analisi dati, formula corretta'!$BB$25:$BB$28,'Analisi dati, formula corretta'!$BB$31,'Analisi dati, formula corretta'!$BB$33,'Analisi dati, formula corretta'!$BB$35,'Analisi dati, formula corretta'!$BB$37,'Analisi dati, formula corretta'!$BB$40,'Analisi dati, formula corretta'!$BB$43:$BB$44,'Analisi dati, formula corretta'!$BB$47,'Analisi dati, formula corretta'!$BB$49:$BB$50,'Analisi dati, formula corretta'!$BB$52)</c:f>
              <c:numCache>
                <c:formatCode>#,##0.00</c:formatCode>
                <c:ptCount val="18"/>
                <c:pt idx="0">
                  <c:v>401.07605938585249</c:v>
                </c:pt>
                <c:pt idx="1">
                  <c:v>386</c:v>
                </c:pt>
                <c:pt idx="2">
                  <c:v>297.54750469826683</c:v>
                </c:pt>
                <c:pt idx="3">
                  <c:v>249.63268453557146</c:v>
                </c:pt>
                <c:pt idx="4">
                  <c:v>226.05266724053357</c:v>
                </c:pt>
                <c:pt idx="5">
                  <c:v>264.68753154045896</c:v>
                </c:pt>
                <c:pt idx="6">
                  <c:v>322.58963699208357</c:v>
                </c:pt>
                <c:pt idx="7">
                  <c:v>232.04161869800376</c:v>
                </c:pt>
                <c:pt idx="8">
                  <c:v>258.33805613673258</c:v>
                </c:pt>
                <c:pt idx="9">
                  <c:v>321.13423141688719</c:v>
                </c:pt>
                <c:pt idx="10">
                  <c:v>281.32675916457544</c:v>
                </c:pt>
                <c:pt idx="11">
                  <c:v>178.69415807560139</c:v>
                </c:pt>
                <c:pt idx="12">
                  <c:v>284.46931163106137</c:v>
                </c:pt>
                <c:pt idx="13">
                  <c:v>366.21602235710282</c:v>
                </c:pt>
                <c:pt idx="14">
                  <c:v>395.57312030931502</c:v>
                </c:pt>
                <c:pt idx="15">
                  <c:v>275.96848677570051</c:v>
                </c:pt>
                <c:pt idx="16">
                  <c:v>418.63708571875645</c:v>
                </c:pt>
                <c:pt idx="17">
                  <c:v>370.52096486727464</c:v>
                </c:pt>
              </c:numCache>
            </c:numRef>
          </c:val>
          <c:extLst>
            <c:ext xmlns:c16="http://schemas.microsoft.com/office/drawing/2014/chart" uri="{C3380CC4-5D6E-409C-BE32-E72D297353CC}">
              <c16:uniqueId val="{00000008-ACD2-412D-BD7A-5C9A753786C6}"/>
            </c:ext>
          </c:extLst>
        </c:ser>
        <c:dLbls>
          <c:showLegendKey val="0"/>
          <c:showVal val="0"/>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specifiche delle centrali a carbone in % di variazione (CO</a:t>
            </a:r>
            <a:r>
              <a:rPr lang="it-IT" baseline="-25000"/>
              <a:t>2</a:t>
            </a:r>
            <a:r>
              <a:rPr lang="it-IT" baseline="0"/>
              <a:t>)</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3"/>
          <c:order val="3"/>
          <c:tx>
            <c:v>Variazioni</c:v>
          </c:tx>
          <c:spPr>
            <a:solidFill>
              <a:schemeClr val="accent4"/>
            </a:solidFill>
            <a:ln>
              <a:noFill/>
            </a:ln>
            <a:effectLst/>
          </c:spPr>
          <c:invertIfNegative val="0"/>
          <c:dLbls>
            <c:dLbl>
              <c:idx val="5"/>
              <c:layout>
                <c:manualLayout>
                  <c:x val="0"/>
                  <c:y val="-2.26287007354326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6F6-4FAD-B05A-313FCA829B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7"/>
              <c:pt idx="0">
                <c:v>3</c:v>
              </c:pt>
              <c:pt idx="1">
                <c:v>7</c:v>
              </c:pt>
              <c:pt idx="2">
                <c:v>9</c:v>
              </c:pt>
              <c:pt idx="3">
                <c:v>14</c:v>
              </c:pt>
              <c:pt idx="4">
                <c:v>15</c:v>
              </c:pt>
              <c:pt idx="5">
                <c:v>33</c:v>
              </c:pt>
              <c:pt idx="6">
                <c:v>42</c:v>
              </c:pt>
            </c:numLit>
          </c:cat>
          <c:val>
            <c:numRef>
              <c:f>('Analisi dati, formula corretta'!$BF$6,'Analisi dati, formula corretta'!$BF$10,'Analisi dati, formula corretta'!$BF$12,'Analisi dati, formula corretta'!$BF$17,'Analisi dati, formula corretta'!$BF$18,'Analisi dati, formula corretta'!$BF$36,'Analisi dati, formula corretta'!$BF$45)</c:f>
              <c:numCache>
                <c:formatCode>0.00%</c:formatCode>
                <c:ptCount val="7"/>
                <c:pt idx="0">
                  <c:v>0.22488396430529334</c:v>
                </c:pt>
                <c:pt idx="1">
                  <c:v>-4.9980198074867088E-2</c:v>
                </c:pt>
                <c:pt idx="2">
                  <c:v>0.22215847663183719</c:v>
                </c:pt>
                <c:pt idx="3">
                  <c:v>8.5862707062508425E-2</c:v>
                </c:pt>
                <c:pt idx="4">
                  <c:v>3.6472683264123784E-2</c:v>
                </c:pt>
                <c:pt idx="5">
                  <c:v>-4.7409825146631501E-3</c:v>
                </c:pt>
                <c:pt idx="6">
                  <c:v>0.19177296344762551</c:v>
                </c:pt>
              </c:numCache>
            </c:numRef>
          </c:val>
          <c:extLst xmlns:c15="http://schemas.microsoft.com/office/drawing/2012/chart">
            <c:ext xmlns:c16="http://schemas.microsoft.com/office/drawing/2014/chart" uri="{C3380CC4-5D6E-409C-BE32-E72D297353CC}">
              <c16:uniqueId val="{00000000-6662-4A5D-BA2E-35497D6CCAC3}"/>
            </c:ext>
          </c:extLst>
        </c:ser>
        <c:dLbls>
          <c:showLegendKey val="0"/>
          <c:showVal val="0"/>
          <c:showCatName val="0"/>
          <c:showSerName val="0"/>
          <c:showPercent val="0"/>
          <c:showBubbleSize val="0"/>
        </c:dLbls>
        <c:gapWidth val="219"/>
        <c:overlap val="-27"/>
        <c:axId val="55998191"/>
        <c:axId val="55996943"/>
        <c:extLst>
          <c:ext xmlns:c15="http://schemas.microsoft.com/office/drawing/2012/chart" uri="{02D57815-91ED-43cb-92C2-25804820EDAC}">
            <c15:filteredBarSeries>
              <c15:ser>
                <c:idx val="0"/>
                <c:order val="0"/>
                <c:tx>
                  <c:v>2017</c:v>
                </c:tx>
                <c:spPr>
                  <a:solidFill>
                    <a:schemeClr val="accent1"/>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c:ext uri="{02D57815-91ED-43cb-92C2-25804820EDAC}">
                        <c15:formulaRef>
                          <c15:sqref>'Analisi dati, formula corretta'!$AZ$4:$AZ$52</c15:sqref>
                        </c15:formulaRef>
                      </c:ext>
                    </c:extLst>
                    <c:numCache>
                      <c:formatCode>#,##0.00</c:formatCode>
                      <c:ptCount val="49"/>
                      <c:pt idx="0">
                        <c:v>368.88</c:v>
                      </c:pt>
                      <c:pt idx="1">
                        <c:v>405.35909752359856</c:v>
                      </c:pt>
                      <c:pt idx="2">
                        <c:v>881.75829941203074</c:v>
                      </c:pt>
                      <c:pt idx="3">
                        <c:v>388.47824696097251</c:v>
                      </c:pt>
                      <c:pt idx="4">
                        <c:v>371</c:v>
                      </c:pt>
                      <c:pt idx="5">
                        <c:v>388.38532110091745</c:v>
                      </c:pt>
                      <c:pt idx="6">
                        <c:v>904.86689132266213</c:v>
                      </c:pt>
                      <c:pt idx="7">
                        <c:v>395.22230272631839</c:v>
                      </c:pt>
                      <c:pt idx="8">
                        <c:v>976.88275862068963</c:v>
                      </c:pt>
                      <c:pt idx="9">
                        <c:v>386.18599926009006</c:v>
                      </c:pt>
                      <c:pt idx="10">
                        <c:v>391.62999138401415</c:v>
                      </c:pt>
                      <c:pt idx="11">
                        <c:v>704.4110766089583</c:v>
                      </c:pt>
                      <c:pt idx="12">
                        <c:v>382.60635433494883</c:v>
                      </c:pt>
                      <c:pt idx="13">
                        <c:v>1014.2599631450249</c:v>
                      </c:pt>
                      <c:pt idx="14">
                        <c:v>985.69424964936889</c:v>
                      </c:pt>
                      <c:pt idx="15">
                        <c:v>395.39834153132517</c:v>
                      </c:pt>
                      <c:pt idx="16">
                        <c:v>387.4130624931002</c:v>
                      </c:pt>
                      <c:pt idx="17">
                        <c:v>364.17587834891265</c:v>
                      </c:pt>
                      <c:pt idx="18">
                        <c:v>281.57096027767068</c:v>
                      </c:pt>
                      <c:pt idx="19">
                        <c:v>407.69128245998718</c:v>
                      </c:pt>
                      <c:pt idx="20">
                        <c:v>388.47391789206461</c:v>
                      </c:pt>
                      <c:pt idx="21">
                        <c:v>248.44577280114868</c:v>
                      </c:pt>
                      <c:pt idx="22">
                        <c:v>245.27063673896387</c:v>
                      </c:pt>
                      <c:pt idx="23">
                        <c:v>267.09954756699329</c:v>
                      </c:pt>
                      <c:pt idx="24">
                        <c:v>324.73430023149348</c:v>
                      </c:pt>
                      <c:pt idx="25">
                        <c:v>398.48632709749376</c:v>
                      </c:pt>
                      <c:pt idx="26">
                        <c:v>482.20290754824356</c:v>
                      </c:pt>
                      <c:pt idx="27">
                        <c:v>231.55753233807644</c:v>
                      </c:pt>
                      <c:pt idx="28">
                        <c:v>408.46366145354187</c:v>
                      </c:pt>
                      <c:pt idx="29">
                        <c:v>259.06890130353821</c:v>
                      </c:pt>
                      <c:pt idx="30">
                        <c:v>384.98705261351364</c:v>
                      </c:pt>
                      <c:pt idx="31">
                        <c:v>287.65724699772517</c:v>
                      </c:pt>
                      <c:pt idx="32">
                        <c:v>1400.4351729065409</c:v>
                      </c:pt>
                      <c:pt idx="33">
                        <c:v>283.14788261666286</c:v>
                      </c:pt>
                      <c:pt idx="34">
                        <c:v>371.53078595186338</c:v>
                      </c:pt>
                      <c:pt idx="35">
                        <c:v>402.85219937028756</c:v>
                      </c:pt>
                      <c:pt idx="36">
                        <c:v>208.95619422805078</c:v>
                      </c:pt>
                      <c:pt idx="37">
                        <c:v>373.0368682992052</c:v>
                      </c:pt>
                      <c:pt idx="38">
                        <c:v>389.85446136501832</c:v>
                      </c:pt>
                      <c:pt idx="39">
                        <c:v>276.88581081081082</c:v>
                      </c:pt>
                      <c:pt idx="40">
                        <c:v>363.98177657120243</c:v>
                      </c:pt>
                      <c:pt idx="41">
                        <c:v>1068.7291356539076</c:v>
                      </c:pt>
                      <c:pt idx="42">
                        <c:v>371.8029686841416</c:v>
                      </c:pt>
                      <c:pt idx="43">
                        <c:v>415.55262710861052</c:v>
                      </c:pt>
                      <c:pt idx="44">
                        <c:v>395.01954948481028</c:v>
                      </c:pt>
                      <c:pt idx="45">
                        <c:v>289.6468877718379</c:v>
                      </c:pt>
                      <c:pt idx="46">
                        <c:v>453.52286643300533</c:v>
                      </c:pt>
                      <c:pt idx="47">
                        <c:v>384.21145770686195</c:v>
                      </c:pt>
                      <c:pt idx="48">
                        <c:v>378.75641083670774</c:v>
                      </c:pt>
                    </c:numCache>
                  </c:numRef>
                </c:val>
                <c:extLst>
                  <c:ext xmlns:c16="http://schemas.microsoft.com/office/drawing/2014/chart" uri="{C3380CC4-5D6E-409C-BE32-E72D297353CC}">
                    <c16:uniqueId val="{00000001-6662-4A5D-BA2E-35497D6CCAC3}"/>
                  </c:ext>
                </c:extLst>
              </c15:ser>
            </c15:filteredBarSeries>
            <c15:filteredBarSeries>
              <c15:ser>
                <c:idx val="1"/>
                <c:order val="1"/>
                <c:tx>
                  <c:v>2018</c:v>
                </c:tx>
                <c:spPr>
                  <a:solidFill>
                    <a:schemeClr val="accent2"/>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xmlns:c15="http://schemas.microsoft.com/office/drawing/2012/chart">
                      <c:ext xmlns:c15="http://schemas.microsoft.com/office/drawing/2012/chart" uri="{02D57815-91ED-43cb-92C2-25804820EDAC}">
                        <c15:formulaRef>
                          <c15:sqref>'Analisi dati, formula corretta'!$BA$4:$BA$52</c15:sqref>
                        </c15:formulaRef>
                      </c:ext>
                    </c:extLst>
                    <c:numCache>
                      <c:formatCode>#,##0.00</c:formatCode>
                      <c:ptCount val="49"/>
                      <c:pt idx="0">
                        <c:v>419.89</c:v>
                      </c:pt>
                      <c:pt idx="1">
                        <c:v>409.58238022968067</c:v>
                      </c:pt>
                      <c:pt idx="2">
                        <c:v>926.72316513761473</c:v>
                      </c:pt>
                      <c:pt idx="3">
                        <c:v>381.0792815113038</c:v>
                      </c:pt>
                      <c:pt idx="4">
                        <c:v>371</c:v>
                      </c:pt>
                      <c:pt idx="5">
                        <c:v>406.27387996618768</c:v>
                      </c:pt>
                      <c:pt idx="6">
                        <c:v>911.67606915377621</c:v>
                      </c:pt>
                      <c:pt idx="7">
                        <c:v>388.20765449918542</c:v>
                      </c:pt>
                      <c:pt idx="8">
                        <c:v>986.56227461858532</c:v>
                      </c:pt>
                      <c:pt idx="9">
                        <c:v>386.67514957901295</c:v>
                      </c:pt>
                      <c:pt idx="10">
                        <c:v>387.01950587966007</c:v>
                      </c:pt>
                      <c:pt idx="11">
                        <c:v>723.44061520934213</c:v>
                      </c:pt>
                      <c:pt idx="12">
                        <c:v>387.13318284424378</c:v>
                      </c:pt>
                      <c:pt idx="13">
                        <c:v>1019.6104139153898</c:v>
                      </c:pt>
                      <c:pt idx="14">
                        <c:v>988.42664998436032</c:v>
                      </c:pt>
                      <c:pt idx="15">
                        <c:v>387.90872892767277</c:v>
                      </c:pt>
                      <c:pt idx="16">
                        <c:v>394.07139945256534</c:v>
                      </c:pt>
                      <c:pt idx="17">
                        <c:v>367.13450773789924</c:v>
                      </c:pt>
                      <c:pt idx="18">
                        <c:v>298.59904118544347</c:v>
                      </c:pt>
                      <c:pt idx="19">
                        <c:v>411.19435185307179</c:v>
                      </c:pt>
                      <c:pt idx="20">
                        <c:v>386.13351422450734</c:v>
                      </c:pt>
                      <c:pt idx="21">
                        <c:v>247.8819510806058</c:v>
                      </c:pt>
                      <c:pt idx="22">
                        <c:v>231.51000417853015</c:v>
                      </c:pt>
                      <c:pt idx="23">
                        <c:v>268.02066743883017</c:v>
                      </c:pt>
                      <c:pt idx="24">
                        <c:v>319.05597837364905</c:v>
                      </c:pt>
                      <c:pt idx="25">
                        <c:v>406.70106208846397</c:v>
                      </c:pt>
                      <c:pt idx="26">
                        <c:v>409.7043808619257</c:v>
                      </c:pt>
                      <c:pt idx="27">
                        <c:v>226.53597176454846</c:v>
                      </c:pt>
                      <c:pt idx="28">
                        <c:v>402.79823269513992</c:v>
                      </c:pt>
                      <c:pt idx="29">
                        <c:v>264.37665769244217</c:v>
                      </c:pt>
                      <c:pt idx="30">
                        <c:v>385.18648408683117</c:v>
                      </c:pt>
                      <c:pt idx="31">
                        <c:v>346.91898585325868</c:v>
                      </c:pt>
                      <c:pt idx="32">
                        <c:v>1365.3490259504147</c:v>
                      </c:pt>
                      <c:pt idx="33">
                        <c:v>284.14168604159806</c:v>
                      </c:pt>
                      <c:pt idx="34">
                        <c:v>384.19213288507154</c:v>
                      </c:pt>
                      <c:pt idx="35">
                        <c:v>401.87925261907333</c:v>
                      </c:pt>
                      <c:pt idx="36">
                        <c:v>236.84385824673595</c:v>
                      </c:pt>
                      <c:pt idx="37">
                        <c:v>381.55689254338745</c:v>
                      </c:pt>
                      <c:pt idx="38">
                        <c:v>389.48996516680569</c:v>
                      </c:pt>
                      <c:pt idx="39">
                        <c:v>275.68735855156808</c:v>
                      </c:pt>
                      <c:pt idx="40">
                        <c:v>366.7633781033324</c:v>
                      </c:pt>
                      <c:pt idx="41">
                        <c:v>1039.507111940613</c:v>
                      </c:pt>
                      <c:pt idx="42">
                        <c:v>374.89580731984796</c:v>
                      </c:pt>
                      <c:pt idx="43">
                        <c:v>399.3525124299793</c:v>
                      </c:pt>
                      <c:pt idx="44">
                        <c:v>391.54343972989676</c:v>
                      </c:pt>
                      <c:pt idx="45">
                        <c:v>279.38215946467051</c:v>
                      </c:pt>
                      <c:pt idx="46">
                        <c:v>430.55219855054116</c:v>
                      </c:pt>
                      <c:pt idx="47">
                        <c:v>377.37046885271144</c:v>
                      </c:pt>
                      <c:pt idx="48">
                        <c:v>379.23259748048815</c:v>
                      </c:pt>
                    </c:numCache>
                  </c:numRef>
                </c:val>
                <c:extLst xmlns:c15="http://schemas.microsoft.com/office/drawing/2012/chart">
                  <c:ext xmlns:c16="http://schemas.microsoft.com/office/drawing/2014/chart" uri="{C3380CC4-5D6E-409C-BE32-E72D297353CC}">
                    <c16:uniqueId val="{00000002-6662-4A5D-BA2E-35497D6CCAC3}"/>
                  </c:ext>
                </c:extLst>
              </c15:ser>
            </c15:filteredBarSeries>
            <c15:filteredBarSeries>
              <c15:ser>
                <c:idx val="2"/>
                <c:order val="2"/>
                <c:tx>
                  <c:v>2019</c:v>
                </c:tx>
                <c:spPr>
                  <a:solidFill>
                    <a:schemeClr val="accent3"/>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xmlns:c15="http://schemas.microsoft.com/office/drawing/2012/chart">
                      <c:ext xmlns:c15="http://schemas.microsoft.com/office/drawing/2012/chart" uri="{02D57815-91ED-43cb-92C2-25804820EDAC}">
                        <c15:formulaRef>
                          <c15:sqref>'Analisi dati, formula corretta'!$BB$4:$BB$52</c15:sqref>
                        </c15:formulaRef>
                      </c:ext>
                    </c:extLst>
                    <c:numCache>
                      <c:formatCode>#,##0.00</c:formatCode>
                      <c:ptCount val="49"/>
                      <c:pt idx="0">
                        <c:v>412.3</c:v>
                      </c:pt>
                      <c:pt idx="1">
                        <c:v>401.07605938585249</c:v>
                      </c:pt>
                      <c:pt idx="2">
                        <c:v>1028.8193651518611</c:v>
                      </c:pt>
                      <c:pt idx="3">
                        <c:v>379.55289765721329</c:v>
                      </c:pt>
                      <c:pt idx="4">
                        <c:v>386</c:v>
                      </c:pt>
                      <c:pt idx="5">
                        <c:v>386.94617563739376</c:v>
                      </c:pt>
                      <c:pt idx="6">
                        <c:v>882.47396630934145</c:v>
                      </c:pt>
                      <c:pt idx="7">
                        <c:v>394.73783455947142</c:v>
                      </c:pt>
                      <c:pt idx="8">
                        <c:v>1020.5023279875841</c:v>
                      </c:pt>
                      <c:pt idx="9">
                        <c:v>380.74424039983046</c:v>
                      </c:pt>
                      <c:pt idx="10">
                        <c:v>383.23726878930313</c:v>
                      </c:pt>
                      <c:pt idx="11">
                        <c:v>709.09307591467052</c:v>
                      </c:pt>
                      <c:pt idx="12">
                        <c:v>381.04020656584288</c:v>
                      </c:pt>
                      <c:pt idx="13">
                        <c:v>987.08187448670208</c:v>
                      </c:pt>
                      <c:pt idx="14">
                        <c:v>996.0972680876614</c:v>
                      </c:pt>
                      <c:pt idx="15">
                        <c:v>393.62834457951203</c:v>
                      </c:pt>
                      <c:pt idx="16">
                        <c:v>389.24523644308124</c:v>
                      </c:pt>
                      <c:pt idx="17">
                        <c:v>368.22433797550036</c:v>
                      </c:pt>
                      <c:pt idx="18">
                        <c:v>297.54750469826683</c:v>
                      </c:pt>
                      <c:pt idx="19">
                        <c:v>398.19853122774254</c:v>
                      </c:pt>
                      <c:pt idx="20">
                        <c:v>380.47284319130461</c:v>
                      </c:pt>
                      <c:pt idx="21">
                        <c:v>249.63268453557146</c:v>
                      </c:pt>
                      <c:pt idx="22">
                        <c:v>226.05266724053357</c:v>
                      </c:pt>
                      <c:pt idx="23">
                        <c:v>264.68753154045896</c:v>
                      </c:pt>
                      <c:pt idx="24">
                        <c:v>322.58963699208357</c:v>
                      </c:pt>
                      <c:pt idx="25">
                        <c:v>404.49073150664435</c:v>
                      </c:pt>
                      <c:pt idx="26">
                        <c:v>400.18382994743166</c:v>
                      </c:pt>
                      <c:pt idx="27">
                        <c:v>232.04161869800376</c:v>
                      </c:pt>
                      <c:pt idx="28">
                        <c:v>406.81818181818181</c:v>
                      </c:pt>
                      <c:pt idx="29">
                        <c:v>258.33805613673258</c:v>
                      </c:pt>
                      <c:pt idx="30">
                        <c:v>387.74340771304918</c:v>
                      </c:pt>
                      <c:pt idx="31">
                        <c:v>321.13423141688719</c:v>
                      </c:pt>
                      <c:pt idx="32">
                        <c:v>1315.3005104421818</c:v>
                      </c:pt>
                      <c:pt idx="33">
                        <c:v>281.32675916457544</c:v>
                      </c:pt>
                      <c:pt idx="34">
                        <c:v>384.49821561750724</c:v>
                      </c:pt>
                      <c:pt idx="35">
                        <c:v>398.94266051179977</c:v>
                      </c:pt>
                      <c:pt idx="36">
                        <c:v>178.69415807560139</c:v>
                      </c:pt>
                      <c:pt idx="37">
                        <c:v>0</c:v>
                      </c:pt>
                      <c:pt idx="38">
                        <c:v>393.45100995441476</c:v>
                      </c:pt>
                      <c:pt idx="39">
                        <c:v>284.46931163106137</c:v>
                      </c:pt>
                      <c:pt idx="40">
                        <c:v>366.21602235710282</c:v>
                      </c:pt>
                      <c:pt idx="41">
                        <c:v>1132.3979192318661</c:v>
                      </c:pt>
                      <c:pt idx="42">
                        <c:v>375.04012195179683</c:v>
                      </c:pt>
                      <c:pt idx="43">
                        <c:v>395.57312030931502</c:v>
                      </c:pt>
                      <c:pt idx="44">
                        <c:v>394.14656750474091</c:v>
                      </c:pt>
                      <c:pt idx="45">
                        <c:v>275.96848677570051</c:v>
                      </c:pt>
                      <c:pt idx="46">
                        <c:v>418.63708571875645</c:v>
                      </c:pt>
                      <c:pt idx="47">
                        <c:v>373.10171461386358</c:v>
                      </c:pt>
                      <c:pt idx="48">
                        <c:v>370.52096486727464</c:v>
                      </c:pt>
                    </c:numCache>
                  </c:numRef>
                </c:val>
                <c:extLst xmlns:c15="http://schemas.microsoft.com/office/drawing/2012/chart">
                  <c:ext xmlns:c16="http://schemas.microsoft.com/office/drawing/2014/chart" uri="{C3380CC4-5D6E-409C-BE32-E72D297353CC}">
                    <c16:uniqueId val="{00000003-6662-4A5D-BA2E-35497D6CCAC3}"/>
                  </c:ext>
                </c:extLst>
              </c15:ser>
            </c15:filteredBarSeries>
            <c15:filteredBarSeries>
              <c15:ser>
                <c:idx val="4"/>
                <c:order val="4"/>
                <c:spPr>
                  <a:solidFill>
                    <a:schemeClr val="accent5"/>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xmlns:c15="http://schemas.microsoft.com/office/drawing/2012/chart">
                      <c:ext xmlns:c15="http://schemas.microsoft.com/office/drawing/2012/chart" uri="{02D57815-91ED-43cb-92C2-25804820EDAC}">
                        <c15:formulaRef>
                          <c15:sqref>'Analisi dati, formula corretta'!$BA$3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4-6662-4A5D-BA2E-35497D6CCAC3}"/>
                  </c:ext>
                </c:extLst>
              </c15:ser>
            </c15:filteredBarSeries>
            <c15:filteredBarSeries>
              <c15:ser>
                <c:idx val="5"/>
                <c:order val="5"/>
                <c:spPr>
                  <a:solidFill>
                    <a:schemeClr val="accent6"/>
                  </a:solidFill>
                  <a:ln>
                    <a:noFill/>
                  </a:ln>
                  <a:effectLst/>
                </c:spPr>
                <c:invertIfNegative val="0"/>
                <c:cat>
                  <c:numLit>
                    <c:formatCode>General</c:formatCode>
                    <c:ptCount val="7"/>
                    <c:pt idx="0">
                      <c:v>3</c:v>
                    </c:pt>
                    <c:pt idx="1">
                      <c:v>7</c:v>
                    </c:pt>
                    <c:pt idx="2">
                      <c:v>9</c:v>
                    </c:pt>
                    <c:pt idx="3">
                      <c:v>14</c:v>
                    </c:pt>
                    <c:pt idx="4">
                      <c:v>15</c:v>
                    </c:pt>
                    <c:pt idx="5">
                      <c:v>33</c:v>
                    </c:pt>
                    <c:pt idx="6">
                      <c:v>42</c:v>
                    </c:pt>
                  </c:numLit>
                </c:cat>
                <c:val>
                  <c:numRef>
                    <c:extLst xmlns:c15="http://schemas.microsoft.com/office/drawing/2012/chart">
                      <c:ext xmlns:c15="http://schemas.microsoft.com/office/drawing/2012/chart" uri="{02D57815-91ED-43cb-92C2-25804820EDAC}">
                        <c15:formulaRef>
                          <c15:sqref>'Analisi dati, formula corretta'!$BB$3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5-6662-4A5D-BA2E-35497D6CCAC3}"/>
                  </c:ext>
                </c:extLst>
              </c15:ser>
            </c15:filteredBarSeries>
          </c:ext>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delle centrali a ciclo combinato (CO)</a:t>
            </a:r>
          </a:p>
        </c:rich>
      </c:tx>
      <c:layout>
        <c:manualLayout>
          <c:xMode val="edge"/>
          <c:yMode val="edge"/>
          <c:x val="0.31873984686825391"/>
          <c:y val="1.27165354330708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1"/>
          <c:order val="0"/>
          <c:tx>
            <c:v>2011</c:v>
          </c:tx>
          <c:spPr>
            <a:solidFill>
              <a:schemeClr val="accent2"/>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corretta'!$CP$4:$CP$52</c15:sqref>
                  </c15:fullRef>
                </c:ext>
              </c:extLst>
              <c:f>('Analisi dati, formula corretta'!$CP$4,'Analisi dati, formula corretta'!$CP$7,'Analisi dati, formula corretta'!$CP$9,'Analisi dati, formula corretta'!$CP$11,'Analisi dati, formula corretta'!$CP$13:$CP$16,'Analisi dati, formula corretta'!$CP$19:$CP$21,'Analisi dati, formula corretta'!$CP$23:$CP$24,'Analisi dati, formula corretta'!$CP$29:$CP$30,'Analisi dati, formula corretta'!$CP$32,'Analisi dati, formula corretta'!$CP$34,'Analisi dati, formula corretta'!$CP$38:$CP$39,'Analisi dati, formula corretta'!$CP$41:$CP$42,'Analisi dati, formula corretta'!$CP$46,'Analisi dati, formula corretta'!$CP$48,'Analisi dati, formula corretta'!$CP$51)</c:f>
              <c:numCache>
                <c:formatCode>#,##0.00000</c:formatCode>
                <c:ptCount val="24"/>
                <c:pt idx="0">
                  <c:v>8.1519037677701568E-3</c:v>
                </c:pt>
                <c:pt idx="1">
                  <c:v>0.17542120911793854</c:v>
                </c:pt>
                <c:pt idx="2">
                  <c:v>0.46511627906976744</c:v>
                </c:pt>
                <c:pt idx="3">
                  <c:v>1.4738045907199836E-2</c:v>
                </c:pt>
                <c:pt idx="4">
                  <c:v>2.5993883792048929E-2</c:v>
                </c:pt>
                <c:pt idx="5">
                  <c:v>5.5104602510460251E-3</c:v>
                </c:pt>
                <c:pt idx="6">
                  <c:v>0.27740854187135178</c:v>
                </c:pt>
                <c:pt idx="7">
                  <c:v>0.27073924411694794</c:v>
                </c:pt>
                <c:pt idx="8">
                  <c:v>1.303095752339813E-2</c:v>
                </c:pt>
                <c:pt idx="9">
                  <c:v>0.20814479638009051</c:v>
                </c:pt>
                <c:pt idx="10">
                  <c:v>3.6783834406520798E-2</c:v>
                </c:pt>
                <c:pt idx="11">
                  <c:v>5.2681201442468326E-3</c:v>
                </c:pt>
                <c:pt idx="12">
                  <c:v>8.2854638195248437E-3</c:v>
                </c:pt>
                <c:pt idx="13">
                  <c:v>0</c:v>
                </c:pt>
                <c:pt idx="14">
                  <c:v>1.3366477067837276E-2</c:v>
                </c:pt>
                <c:pt idx="15">
                  <c:v>5.8555627846454128E-3</c:v>
                </c:pt>
                <c:pt idx="16">
                  <c:v>1.1424367986509091E-2</c:v>
                </c:pt>
                <c:pt idx="17">
                  <c:v>4.4273688085004502E-2</c:v>
                </c:pt>
                <c:pt idx="18">
                  <c:v>1.0083806031748624E-2</c:v>
                </c:pt>
                <c:pt idx="19">
                  <c:v>3.3692159052754918E-2</c:v>
                </c:pt>
                <c:pt idx="20">
                  <c:v>4.6210857208798285E-2</c:v>
                </c:pt>
                <c:pt idx="21">
                  <c:v>0.54933424994572688</c:v>
                </c:pt>
                <c:pt idx="22">
                  <c:v>0</c:v>
                </c:pt>
                <c:pt idx="23">
                  <c:v>0</c:v>
                </c:pt>
              </c:numCache>
            </c:numRef>
          </c:val>
          <c:extLst>
            <c:ext xmlns:c16="http://schemas.microsoft.com/office/drawing/2014/chart" uri="{C3380CC4-5D6E-409C-BE32-E72D297353CC}">
              <c16:uniqueId val="{00000000-E736-4295-ADD4-1948B000F5EC}"/>
            </c:ext>
          </c:extLst>
        </c:ser>
        <c:ser>
          <c:idx val="0"/>
          <c:order val="1"/>
          <c:tx>
            <c:v>2012</c:v>
          </c:tx>
          <c:spPr>
            <a:solidFill>
              <a:schemeClr val="accent1"/>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corretta'!$CQ$4:$CQ$52</c15:sqref>
                  </c15:fullRef>
                </c:ext>
              </c:extLst>
              <c:f>('Analisi dati, formula corretta'!$CQ$4,'Analisi dati, formula corretta'!$CQ$7,'Analisi dati, formula corretta'!$CQ$9,'Analisi dati, formula corretta'!$CQ$11,'Analisi dati, formula corretta'!$CQ$13:$CQ$16,'Analisi dati, formula corretta'!$CQ$19:$CQ$21,'Analisi dati, formula corretta'!$CQ$23:$CQ$24,'Analisi dati, formula corretta'!$CQ$29:$CQ$30,'Analisi dati, formula corretta'!$CQ$32,'Analisi dati, formula corretta'!$CQ$34,'Analisi dati, formula corretta'!$CQ$38:$CQ$39,'Analisi dati, formula corretta'!$CQ$41:$CQ$42,'Analisi dati, formula corretta'!$CQ$46,'Analisi dati, formula corretta'!$CQ$48,'Analisi dati, formula corretta'!$CQ$51)</c:f>
              <c:numCache>
                <c:formatCode>#,##0.00000</c:formatCode>
                <c:ptCount val="24"/>
                <c:pt idx="0">
                  <c:v>1.2150206933211833E-2</c:v>
                </c:pt>
                <c:pt idx="1">
                  <c:v>0.33031088082901555</c:v>
                </c:pt>
                <c:pt idx="2">
                  <c:v>1.3034633399863831</c:v>
                </c:pt>
                <c:pt idx="3">
                  <c:v>1.5738187399154127E-2</c:v>
                </c:pt>
                <c:pt idx="4">
                  <c:v>2.6394721055788842E-2</c:v>
                </c:pt>
                <c:pt idx="5">
                  <c:v>9.8769230769230783E-3</c:v>
                </c:pt>
                <c:pt idx="6">
                  <c:v>0.36654307586031887</c:v>
                </c:pt>
                <c:pt idx="7">
                  <c:v>0.47529867613819826</c:v>
                </c:pt>
                <c:pt idx="8">
                  <c:v>1.8488529014844803E-2</c:v>
                </c:pt>
                <c:pt idx="9">
                  <c:v>0.21546052631578946</c:v>
                </c:pt>
                <c:pt idx="10">
                  <c:v>3.8045451476287469E-2</c:v>
                </c:pt>
                <c:pt idx="11">
                  <c:v>8.5180177598253911E-3</c:v>
                </c:pt>
                <c:pt idx="12">
                  <c:v>8.6644251780566631E-3</c:v>
                </c:pt>
                <c:pt idx="13">
                  <c:v>8.230663428053028E-3</c:v>
                </c:pt>
                <c:pt idx="14">
                  <c:v>1.1708770933863185E-2</c:v>
                </c:pt>
                <c:pt idx="15">
                  <c:v>3.687315634218289E-3</c:v>
                </c:pt>
                <c:pt idx="16">
                  <c:v>1.4664533893518529E-2</c:v>
                </c:pt>
                <c:pt idx="17">
                  <c:v>9.4386771029893263E-2</c:v>
                </c:pt>
                <c:pt idx="18">
                  <c:v>1.4103688555297478E-2</c:v>
                </c:pt>
                <c:pt idx="19">
                  <c:v>5.7983346502157668E-2</c:v>
                </c:pt>
                <c:pt idx="20">
                  <c:v>5.8255353725983595E-2</c:v>
                </c:pt>
                <c:pt idx="21">
                  <c:v>0.454908984410201</c:v>
                </c:pt>
                <c:pt idx="22">
                  <c:v>0</c:v>
                </c:pt>
                <c:pt idx="23">
                  <c:v>0.14899999999999999</c:v>
                </c:pt>
              </c:numCache>
            </c:numRef>
          </c:val>
          <c:extLst>
            <c:ext xmlns:c16="http://schemas.microsoft.com/office/drawing/2014/chart" uri="{C3380CC4-5D6E-409C-BE32-E72D297353CC}">
              <c16:uniqueId val="{00000001-E736-4295-ADD4-1948B000F5EC}"/>
            </c:ext>
          </c:extLst>
        </c:ser>
        <c:ser>
          <c:idx val="2"/>
          <c:order val="2"/>
          <c:tx>
            <c:v>2013</c:v>
          </c:tx>
          <c:spPr>
            <a:solidFill>
              <a:schemeClr val="accent3"/>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corretta'!$CR$4:$CR$52</c15:sqref>
                  </c15:fullRef>
                </c:ext>
              </c:extLst>
              <c:f>('Analisi dati, formula corretta'!$CR$4,'Analisi dati, formula corretta'!$CR$7,'Analisi dati, formula corretta'!$CR$9,'Analisi dati, formula corretta'!$CR$11,'Analisi dati, formula corretta'!$CR$13:$CR$16,'Analisi dati, formula corretta'!$CR$19:$CR$21,'Analisi dati, formula corretta'!$CR$23:$CR$24,'Analisi dati, formula corretta'!$CR$29:$CR$30,'Analisi dati, formula corretta'!$CR$32,'Analisi dati, formula corretta'!$CR$34,'Analisi dati, formula corretta'!$CR$38:$CR$39,'Analisi dati, formula corretta'!$CR$41:$CR$42,'Analisi dati, formula corretta'!$CR$46,'Analisi dati, formula corretta'!$CR$48,'Analisi dati, formula corretta'!$CR$51)</c:f>
              <c:numCache>
                <c:formatCode>#,##0.00000</c:formatCode>
                <c:ptCount val="24"/>
                <c:pt idx="0">
                  <c:v>2.6319637373885072E-2</c:v>
                </c:pt>
                <c:pt idx="1">
                  <c:v>0.22177100958826845</c:v>
                </c:pt>
                <c:pt idx="2">
                  <c:v>1.9882892057026476</c:v>
                </c:pt>
                <c:pt idx="3">
                  <c:v>1.0328917109269075E-2</c:v>
                </c:pt>
                <c:pt idx="4">
                  <c:v>1.66270783847981E-2</c:v>
                </c:pt>
                <c:pt idx="5">
                  <c:v>0</c:v>
                </c:pt>
                <c:pt idx="6">
                  <c:v>0.1623640201331385</c:v>
                </c:pt>
                <c:pt idx="7">
                  <c:v>0.65539983511953837</c:v>
                </c:pt>
                <c:pt idx="8">
                  <c:v>2.4248813916710594E-2</c:v>
                </c:pt>
                <c:pt idx="9">
                  <c:v>0.39663461538461536</c:v>
                </c:pt>
                <c:pt idx="10">
                  <c:v>3.4708768802839962E-2</c:v>
                </c:pt>
                <c:pt idx="11">
                  <c:v>9.7895883609024157E-3</c:v>
                </c:pt>
                <c:pt idx="12">
                  <c:v>6.5439544331364913E-3</c:v>
                </c:pt>
                <c:pt idx="13">
                  <c:v>0.12809926654514547</c:v>
                </c:pt>
                <c:pt idx="14">
                  <c:v>1.1860373750027799E-2</c:v>
                </c:pt>
                <c:pt idx="15">
                  <c:v>2.7586206896551722E-3</c:v>
                </c:pt>
                <c:pt idx="16">
                  <c:v>1.4175377773817673E-2</c:v>
                </c:pt>
                <c:pt idx="17">
                  <c:v>7.3757403561340348E-2</c:v>
                </c:pt>
                <c:pt idx="18">
                  <c:v>2.0692809534104961E-2</c:v>
                </c:pt>
                <c:pt idx="19">
                  <c:v>0.12252418240442192</c:v>
                </c:pt>
                <c:pt idx="20">
                  <c:v>7.545101094256057E-2</c:v>
                </c:pt>
                <c:pt idx="21">
                  <c:v>0.68995808814190762</c:v>
                </c:pt>
                <c:pt idx="22">
                  <c:v>0.34484224364592458</c:v>
                </c:pt>
                <c:pt idx="23">
                  <c:v>0.19900000000000001</c:v>
                </c:pt>
              </c:numCache>
            </c:numRef>
          </c:val>
          <c:extLst>
            <c:ext xmlns:c16="http://schemas.microsoft.com/office/drawing/2014/chart" uri="{C3380CC4-5D6E-409C-BE32-E72D297353CC}">
              <c16:uniqueId val="{00000002-E736-4295-ADD4-1948B000F5EC}"/>
            </c:ext>
          </c:extLst>
        </c:ser>
        <c:ser>
          <c:idx val="3"/>
          <c:order val="3"/>
          <c:tx>
            <c:v>2014</c:v>
          </c:tx>
          <c:spPr>
            <a:solidFill>
              <a:schemeClr val="accent4"/>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corretta'!$CS$4:$CS$52</c15:sqref>
                  </c15:fullRef>
                </c:ext>
              </c:extLst>
              <c:f>('Analisi dati, formula corretta'!$CS$4,'Analisi dati, formula corretta'!$CS$7,'Analisi dati, formula corretta'!$CS$9,'Analisi dati, formula corretta'!$CS$11,'Analisi dati, formula corretta'!$CS$13:$CS$16,'Analisi dati, formula corretta'!$CS$19:$CS$21,'Analisi dati, formula corretta'!$CS$23:$CS$24,'Analisi dati, formula corretta'!$CS$29:$CS$30,'Analisi dati, formula corretta'!$CS$32,'Analisi dati, formula corretta'!$CS$34,'Analisi dati, formula corretta'!$CS$38:$CS$39,'Analisi dati, formula corretta'!$CS$41:$CS$42,'Analisi dati, formula corretta'!$CS$46,'Analisi dati, formula corretta'!$CS$48,'Analisi dati, formula corretta'!$CS$51)</c:f>
              <c:numCache>
                <c:formatCode>#,##0.00000</c:formatCode>
                <c:ptCount val="24"/>
                <c:pt idx="0">
                  <c:v>1.5368852459016395E-2</c:v>
                </c:pt>
                <c:pt idx="1">
                  <c:v>0.50585774058577404</c:v>
                </c:pt>
                <c:pt idx="2">
                  <c:v>2.6210775853105703</c:v>
                </c:pt>
                <c:pt idx="3">
                  <c:v>0.13079026731126719</c:v>
                </c:pt>
                <c:pt idx="4">
                  <c:v>1.4150943396226415E-2</c:v>
                </c:pt>
                <c:pt idx="5">
                  <c:v>0</c:v>
                </c:pt>
                <c:pt idx="6">
                  <c:v>0.15867411906112525</c:v>
                </c:pt>
                <c:pt idx="7">
                  <c:v>1.0121212121212122</c:v>
                </c:pt>
                <c:pt idx="8">
                  <c:v>4.1968162083936326E-2</c:v>
                </c:pt>
                <c:pt idx="9">
                  <c:v>1.0401960784313724</c:v>
                </c:pt>
                <c:pt idx="10">
                  <c:v>9.1420611457839092E-3</c:v>
                </c:pt>
                <c:pt idx="11">
                  <c:v>7.0354945723937017E-3</c:v>
                </c:pt>
                <c:pt idx="12">
                  <c:v>9.4858199153572999E-3</c:v>
                </c:pt>
                <c:pt idx="13">
                  <c:v>0.23478833778109048</c:v>
                </c:pt>
                <c:pt idx="14">
                  <c:v>3.6636052402188056E-2</c:v>
                </c:pt>
                <c:pt idx="15">
                  <c:v>9.5541401273885346E-3</c:v>
                </c:pt>
                <c:pt idx="16">
                  <c:v>6.9362558091142404E-2</c:v>
                </c:pt>
                <c:pt idx="17">
                  <c:v>0.10738426719871344</c:v>
                </c:pt>
                <c:pt idx="18">
                  <c:v>1.075418971995769E-2</c:v>
                </c:pt>
                <c:pt idx="19">
                  <c:v>0.37263910158243996</c:v>
                </c:pt>
                <c:pt idx="20">
                  <c:v>6.8028696875984937E-2</c:v>
                </c:pt>
                <c:pt idx="21">
                  <c:v>0.68510394524595597</c:v>
                </c:pt>
                <c:pt idx="22">
                  <c:v>0.32639545454545454</c:v>
                </c:pt>
                <c:pt idx="23">
                  <c:v>0.15398823529411765</c:v>
                </c:pt>
              </c:numCache>
            </c:numRef>
          </c:val>
          <c:extLst>
            <c:ext xmlns:c16="http://schemas.microsoft.com/office/drawing/2014/chart" uri="{C3380CC4-5D6E-409C-BE32-E72D297353CC}">
              <c16:uniqueId val="{00000003-E736-4295-ADD4-1948B000F5EC}"/>
            </c:ext>
          </c:extLst>
        </c:ser>
        <c:ser>
          <c:idx val="4"/>
          <c:order val="4"/>
          <c:tx>
            <c:v>2015</c:v>
          </c:tx>
          <c:spPr>
            <a:solidFill>
              <a:schemeClr val="accent5"/>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corretta'!$CT$4:$CT$52</c15:sqref>
                  </c15:fullRef>
                </c:ext>
              </c:extLst>
              <c:f>('Analisi dati, formula corretta'!$CT$4,'Analisi dati, formula corretta'!$CT$7,'Analisi dati, formula corretta'!$CT$9,'Analisi dati, formula corretta'!$CT$11,'Analisi dati, formula corretta'!$CT$13:$CT$16,'Analisi dati, formula corretta'!$CT$19:$CT$21,'Analisi dati, formula corretta'!$CT$23:$CT$24,'Analisi dati, formula corretta'!$CT$29:$CT$30,'Analisi dati, formula corretta'!$CT$32,'Analisi dati, formula corretta'!$CT$34,'Analisi dati, formula corretta'!$CT$38:$CT$39,'Analisi dati, formula corretta'!$CT$41:$CT$42,'Analisi dati, formula corretta'!$CT$46,'Analisi dati, formula corretta'!$CT$48,'Analisi dati, formula corretta'!$CT$51)</c:f>
              <c:numCache>
                <c:formatCode>#,##0.00000</c:formatCode>
                <c:ptCount val="24"/>
                <c:pt idx="0">
                  <c:v>1.9842057224493035E-2</c:v>
                </c:pt>
                <c:pt idx="1">
                  <c:v>0.36503198294243072</c:v>
                </c:pt>
                <c:pt idx="2">
                  <c:v>0.92606565893966009</c:v>
                </c:pt>
                <c:pt idx="3">
                  <c:v>0.12175080227742363</c:v>
                </c:pt>
                <c:pt idx="4">
                  <c:v>1.2115563839701771E-2</c:v>
                </c:pt>
                <c:pt idx="5">
                  <c:v>2.8468549566782939E-2</c:v>
                </c:pt>
                <c:pt idx="6">
                  <c:v>0.20260140200170187</c:v>
                </c:pt>
                <c:pt idx="7">
                  <c:v>0.64527145359019267</c:v>
                </c:pt>
                <c:pt idx="8">
                  <c:v>4.3907793633369926E-2</c:v>
                </c:pt>
                <c:pt idx="9">
                  <c:v>0.49083969465648858</c:v>
                </c:pt>
                <c:pt idx="10">
                  <c:v>3.8958267138785772E-2</c:v>
                </c:pt>
                <c:pt idx="11">
                  <c:v>1.3747064091819741E-2</c:v>
                </c:pt>
                <c:pt idx="12">
                  <c:v>1.8866342445077983E-2</c:v>
                </c:pt>
                <c:pt idx="13">
                  <c:v>0.16236054613556727</c:v>
                </c:pt>
                <c:pt idx="14">
                  <c:v>7.860752386299831E-2</c:v>
                </c:pt>
                <c:pt idx="15">
                  <c:v>4.2553191489361703E-3</c:v>
                </c:pt>
                <c:pt idx="16">
                  <c:v>5.8226799855079968E-2</c:v>
                </c:pt>
                <c:pt idx="17">
                  <c:v>6.8692545818594589E-2</c:v>
                </c:pt>
                <c:pt idx="18">
                  <c:v>1.4984688181302063E-2</c:v>
                </c:pt>
                <c:pt idx="19">
                  <c:v>0.26059052134229921</c:v>
                </c:pt>
                <c:pt idx="20">
                  <c:v>5.4538988699310342E-2</c:v>
                </c:pt>
                <c:pt idx="21">
                  <c:v>0.43300156014049612</c:v>
                </c:pt>
                <c:pt idx="22">
                  <c:v>0.24453537500062797</c:v>
                </c:pt>
                <c:pt idx="23">
                  <c:v>9.9034918276374437E-2</c:v>
                </c:pt>
              </c:numCache>
            </c:numRef>
          </c:val>
          <c:extLst>
            <c:ext xmlns:c16="http://schemas.microsoft.com/office/drawing/2014/chart" uri="{C3380CC4-5D6E-409C-BE32-E72D297353CC}">
              <c16:uniqueId val="{00000004-E736-4295-ADD4-1948B000F5EC}"/>
            </c:ext>
          </c:extLst>
        </c:ser>
        <c:ser>
          <c:idx val="5"/>
          <c:order val="5"/>
          <c:tx>
            <c:v>2016</c:v>
          </c:tx>
          <c:spPr>
            <a:solidFill>
              <a:schemeClr val="accent6"/>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corretta'!$CU$4:$CU$52</c15:sqref>
                  </c15:fullRef>
                </c:ext>
              </c:extLst>
              <c:f>('Analisi dati, formula corretta'!$CU$4,'Analisi dati, formula corretta'!$CU$7,'Analisi dati, formula corretta'!$CU$9,'Analisi dati, formula corretta'!$CU$11,'Analisi dati, formula corretta'!$CU$13:$CU$16,'Analisi dati, formula corretta'!$CU$19:$CU$21,'Analisi dati, formula corretta'!$CU$23:$CU$24,'Analisi dati, formula corretta'!$CU$29:$CU$30,'Analisi dati, formula corretta'!$CU$32,'Analisi dati, formula corretta'!$CU$34,'Analisi dati, formula corretta'!$CU$38:$CU$39,'Analisi dati, formula corretta'!$CU$41:$CU$42,'Analisi dati, formula corretta'!$CU$46,'Analisi dati, formula corretta'!$CU$48,'Analisi dati, formula corretta'!$CU$51)</c:f>
              <c:numCache>
                <c:formatCode>#,##0.00000</c:formatCode>
                <c:ptCount val="24"/>
                <c:pt idx="0">
                  <c:v>1.4626244602001601E-2</c:v>
                </c:pt>
                <c:pt idx="1">
                  <c:v>0.35114206128133701</c:v>
                </c:pt>
                <c:pt idx="2">
                  <c:v>1.1667675936421182</c:v>
                </c:pt>
                <c:pt idx="3">
                  <c:v>0.12576419230170124</c:v>
                </c:pt>
                <c:pt idx="4">
                  <c:v>1.2690355329949238E-2</c:v>
                </c:pt>
                <c:pt idx="5">
                  <c:v>1.4805783897692248E-2</c:v>
                </c:pt>
                <c:pt idx="6">
                  <c:v>0.1562231491462405</c:v>
                </c:pt>
                <c:pt idx="7">
                  <c:v>0.39348534201954394</c:v>
                </c:pt>
                <c:pt idx="8">
                  <c:v>1.9680999906725123E-2</c:v>
                </c:pt>
                <c:pt idx="9">
                  <c:v>0.82941176470588229</c:v>
                </c:pt>
                <c:pt idx="10">
                  <c:v>5.2850211175746023E-2</c:v>
                </c:pt>
                <c:pt idx="11">
                  <c:v>1.4727081976134225E-2</c:v>
                </c:pt>
                <c:pt idx="12">
                  <c:v>2.0660498425670019E-2</c:v>
                </c:pt>
                <c:pt idx="13">
                  <c:v>1.2910318028428264E-2</c:v>
                </c:pt>
                <c:pt idx="14">
                  <c:v>4.3815432338115544E-2</c:v>
                </c:pt>
                <c:pt idx="15">
                  <c:v>3.5000000000000001E-3</c:v>
                </c:pt>
                <c:pt idx="16">
                  <c:v>2.6628939892130804E-2</c:v>
                </c:pt>
                <c:pt idx="17">
                  <c:v>6.2464423347444037E-2</c:v>
                </c:pt>
                <c:pt idx="18">
                  <c:v>1.2951526235117918E-2</c:v>
                </c:pt>
                <c:pt idx="19">
                  <c:v>6.7910275549946081E-2</c:v>
                </c:pt>
                <c:pt idx="20">
                  <c:v>2.5725076737792219E-2</c:v>
                </c:pt>
                <c:pt idx="21">
                  <c:v>0.23509874647334023</c:v>
                </c:pt>
                <c:pt idx="22">
                  <c:v>6.6731756003299792E-3</c:v>
                </c:pt>
                <c:pt idx="23">
                  <c:v>1.1713648752810293E-2</c:v>
                </c:pt>
              </c:numCache>
            </c:numRef>
          </c:val>
          <c:extLst>
            <c:ext xmlns:c16="http://schemas.microsoft.com/office/drawing/2014/chart" uri="{C3380CC4-5D6E-409C-BE32-E72D297353CC}">
              <c16:uniqueId val="{00000005-E736-4295-ADD4-1948B000F5EC}"/>
            </c:ext>
          </c:extLst>
        </c:ser>
        <c:ser>
          <c:idx val="6"/>
          <c:order val="6"/>
          <c:tx>
            <c:v>2017</c:v>
          </c:tx>
          <c:spPr>
            <a:solidFill>
              <a:schemeClr val="accent1">
                <a:lumMod val="60000"/>
              </a:schemeClr>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corretta'!$CV$4:$CV$52</c15:sqref>
                  </c15:fullRef>
                </c:ext>
              </c:extLst>
              <c:f>('Analisi dati, formula corretta'!$CV$4,'Analisi dati, formula corretta'!$CV$7,'Analisi dati, formula corretta'!$CV$9,'Analisi dati, formula corretta'!$CV$11,'Analisi dati, formula corretta'!$CV$13:$CV$16,'Analisi dati, formula corretta'!$CV$19:$CV$21,'Analisi dati, formula corretta'!$CV$23:$CV$24,'Analisi dati, formula corretta'!$CV$29:$CV$30,'Analisi dati, formula corretta'!$CV$32,'Analisi dati, formula corretta'!$CV$34,'Analisi dati, formula corretta'!$CV$38:$CV$39,'Analisi dati, formula corretta'!$CV$41:$CV$42,'Analisi dati, formula corretta'!$CV$46,'Analisi dati, formula corretta'!$CV$48,'Analisi dati, formula corretta'!$CV$51)</c:f>
              <c:numCache>
                <c:formatCode>#,##0.00000</c:formatCode>
                <c:ptCount val="24"/>
                <c:pt idx="0">
                  <c:v>1.3299999999999999E-2</c:v>
                </c:pt>
                <c:pt idx="1">
                  <c:v>0.16698656429942418</c:v>
                </c:pt>
                <c:pt idx="2">
                  <c:v>0.78463302752293573</c:v>
                </c:pt>
                <c:pt idx="3">
                  <c:v>2.6535033435298498E-2</c:v>
                </c:pt>
                <c:pt idx="4">
                  <c:v>8.2212213211502651E-3</c:v>
                </c:pt>
                <c:pt idx="5">
                  <c:v>1.2066256833911123E-2</c:v>
                </c:pt>
                <c:pt idx="6">
                  <c:v>0.14887915266493684</c:v>
                </c:pt>
                <c:pt idx="7">
                  <c:v>0.29590737749057622</c:v>
                </c:pt>
                <c:pt idx="8">
                  <c:v>2.0892122514487289E-2</c:v>
                </c:pt>
                <c:pt idx="9">
                  <c:v>2.7089684689657514E-2</c:v>
                </c:pt>
                <c:pt idx="10">
                  <c:v>5.4518517114031044E-2</c:v>
                </c:pt>
                <c:pt idx="11">
                  <c:v>1.6230416436358027E-2</c:v>
                </c:pt>
                <c:pt idx="12">
                  <c:v>1.6303725964602535E-2</c:v>
                </c:pt>
                <c:pt idx="13">
                  <c:v>6.1157172618421336E-3</c:v>
                </c:pt>
                <c:pt idx="14">
                  <c:v>3.1895079931708835E-2</c:v>
                </c:pt>
                <c:pt idx="15">
                  <c:v>7.3597056117755289E-3</c:v>
                </c:pt>
                <c:pt idx="16">
                  <c:v>4.1719883222254145E-2</c:v>
                </c:pt>
                <c:pt idx="17">
                  <c:v>8.4948799203834163E-2</c:v>
                </c:pt>
                <c:pt idx="18">
                  <c:v>4.6100029934066696E-3</c:v>
                </c:pt>
                <c:pt idx="19">
                  <c:v>4.7738133557828022E-2</c:v>
                </c:pt>
                <c:pt idx="20">
                  <c:v>1.8286647640267908E-2</c:v>
                </c:pt>
                <c:pt idx="21">
                  <c:v>9.8265039928004297E-2</c:v>
                </c:pt>
                <c:pt idx="22">
                  <c:v>0.14471909285863827</c:v>
                </c:pt>
                <c:pt idx="23">
                  <c:v>8.0591273663986038E-2</c:v>
                </c:pt>
              </c:numCache>
            </c:numRef>
          </c:val>
          <c:extLst>
            <c:ext xmlns:c16="http://schemas.microsoft.com/office/drawing/2014/chart" uri="{C3380CC4-5D6E-409C-BE32-E72D297353CC}">
              <c16:uniqueId val="{00000006-E736-4295-ADD4-1948B000F5EC}"/>
            </c:ext>
          </c:extLst>
        </c:ser>
        <c:ser>
          <c:idx val="7"/>
          <c:order val="7"/>
          <c:tx>
            <c:v>2018</c:v>
          </c:tx>
          <c:spPr>
            <a:solidFill>
              <a:schemeClr val="accent2">
                <a:lumMod val="60000"/>
              </a:schemeClr>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corretta'!$CW$4:$CW$52</c15:sqref>
                  </c15:fullRef>
                </c:ext>
              </c:extLst>
              <c:f>('Analisi dati, formula corretta'!$CW$4,'Analisi dati, formula corretta'!$CW$7,'Analisi dati, formula corretta'!$CW$9,'Analisi dati, formula corretta'!$CW$11,'Analisi dati, formula corretta'!$CW$13:$CW$16,'Analisi dati, formula corretta'!$CW$19:$CW$21,'Analisi dati, formula corretta'!$CW$23:$CW$24,'Analisi dati, formula corretta'!$CW$29:$CW$30,'Analisi dati, formula corretta'!$CW$32,'Analisi dati, formula corretta'!$CW$34,'Analisi dati, formula corretta'!$CW$38:$CW$39,'Analisi dati, formula corretta'!$CW$41:$CW$42,'Analisi dati, formula corretta'!$CW$46,'Analisi dati, formula corretta'!$CW$48,'Analisi dati, formula corretta'!$CW$51)</c:f>
              <c:numCache>
                <c:formatCode>#,##0.00000</c:formatCode>
                <c:ptCount val="24"/>
                <c:pt idx="0">
                  <c:v>1.9099999999999999E-2</c:v>
                </c:pt>
                <c:pt idx="1">
                  <c:v>0.14533911427686591</c:v>
                </c:pt>
                <c:pt idx="2">
                  <c:v>1.6410819949281488</c:v>
                </c:pt>
                <c:pt idx="3">
                  <c:v>1.2440620188368189E-2</c:v>
                </c:pt>
                <c:pt idx="4">
                  <c:v>8.5430748451567687E-3</c:v>
                </c:pt>
                <c:pt idx="5">
                  <c:v>5.3646533718634658E-3</c:v>
                </c:pt>
                <c:pt idx="6">
                  <c:v>0.39874679578467676</c:v>
                </c:pt>
                <c:pt idx="7">
                  <c:v>0.38600451467268621</c:v>
                </c:pt>
                <c:pt idx="8">
                  <c:v>1.4121419747526806E-2</c:v>
                </c:pt>
                <c:pt idx="9">
                  <c:v>3.7013310555911449E-2</c:v>
                </c:pt>
                <c:pt idx="10">
                  <c:v>6.6154465298357307E-2</c:v>
                </c:pt>
                <c:pt idx="11">
                  <c:v>1.6008517674338942E-2</c:v>
                </c:pt>
                <c:pt idx="12">
                  <c:v>1.7939620563009764E-2</c:v>
                </c:pt>
                <c:pt idx="13">
                  <c:v>1.1044045980432276E-2</c:v>
                </c:pt>
                <c:pt idx="14">
                  <c:v>1.4726344532826785E-2</c:v>
                </c:pt>
                <c:pt idx="15">
                  <c:v>7.3637702503681884E-3</c:v>
                </c:pt>
                <c:pt idx="16">
                  <c:v>2.5685322690389367E-2</c:v>
                </c:pt>
                <c:pt idx="17">
                  <c:v>9.089976279145566E-2</c:v>
                </c:pt>
                <c:pt idx="18">
                  <c:v>4.1656515219635456E-3</c:v>
                </c:pt>
                <c:pt idx="19">
                  <c:v>3.2653168851601674E-2</c:v>
                </c:pt>
                <c:pt idx="20">
                  <c:v>2.0523038976982481E-2</c:v>
                </c:pt>
                <c:pt idx="21">
                  <c:v>0.11135159133161297</c:v>
                </c:pt>
                <c:pt idx="22">
                  <c:v>0.13459068225583187</c:v>
                </c:pt>
                <c:pt idx="23">
                  <c:v>7.0665466454260667E-2</c:v>
                </c:pt>
              </c:numCache>
            </c:numRef>
          </c:val>
          <c:extLst>
            <c:ext xmlns:c16="http://schemas.microsoft.com/office/drawing/2014/chart" uri="{C3380CC4-5D6E-409C-BE32-E72D297353CC}">
              <c16:uniqueId val="{00000007-E736-4295-ADD4-1948B000F5EC}"/>
            </c:ext>
          </c:extLst>
        </c:ser>
        <c:ser>
          <c:idx val="8"/>
          <c:order val="8"/>
          <c:tx>
            <c:v>2019</c:v>
          </c:tx>
          <c:spPr>
            <a:solidFill>
              <a:schemeClr val="accent3">
                <a:lumMod val="60000"/>
              </a:schemeClr>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corretta'!$CX$4:$CX$52</c15:sqref>
                  </c15:fullRef>
                </c:ext>
              </c:extLst>
              <c:f>('Analisi dati, formula corretta'!$CX$4,'Analisi dati, formula corretta'!$CX$7,'Analisi dati, formula corretta'!$CX$9,'Analisi dati, formula corretta'!$CX$11,'Analisi dati, formula corretta'!$CX$13:$CX$16,'Analisi dati, formula corretta'!$CX$19:$CX$21,'Analisi dati, formula corretta'!$CX$23:$CX$24,'Analisi dati, formula corretta'!$CX$29:$CX$30,'Analisi dati, formula corretta'!$CX$32,'Analisi dati, formula corretta'!$CX$34,'Analisi dati, formula corretta'!$CX$38:$CX$39,'Analisi dati, formula corretta'!$CX$41:$CX$42,'Analisi dati, formula corretta'!$CX$46,'Analisi dati, formula corretta'!$CX$48,'Analisi dati, formula corretta'!$CX$51)</c:f>
              <c:numCache>
                <c:formatCode>#,##0.00000</c:formatCode>
                <c:ptCount val="24"/>
                <c:pt idx="0">
                  <c:v>2.5999999999999999E-2</c:v>
                </c:pt>
                <c:pt idx="1">
                  <c:v>9.9852034525277425E-2</c:v>
                </c:pt>
                <c:pt idx="2">
                  <c:v>0.47611250505868069</c:v>
                </c:pt>
                <c:pt idx="3">
                  <c:v>9.9823570513167745E-3</c:v>
                </c:pt>
                <c:pt idx="4">
                  <c:v>7.4604595643091619E-3</c:v>
                </c:pt>
                <c:pt idx="5">
                  <c:v>6.6169919627179765E-3</c:v>
                </c:pt>
                <c:pt idx="6">
                  <c:v>0.19862551146069202</c:v>
                </c:pt>
                <c:pt idx="7">
                  <c:v>0.29841386942087789</c:v>
                </c:pt>
                <c:pt idx="8">
                  <c:v>1.9120518824307511E-2</c:v>
                </c:pt>
                <c:pt idx="9">
                  <c:v>2.3227381486902281E-2</c:v>
                </c:pt>
                <c:pt idx="10">
                  <c:v>8.3627608498591063E-2</c:v>
                </c:pt>
                <c:pt idx="11">
                  <c:v>7.328458670796692E-3</c:v>
                </c:pt>
                <c:pt idx="12">
                  <c:v>3.0687468678768381E-2</c:v>
                </c:pt>
                <c:pt idx="13">
                  <c:v>7.4017053529133112E-3</c:v>
                </c:pt>
                <c:pt idx="14">
                  <c:v>1.012658612152207E-2</c:v>
                </c:pt>
                <c:pt idx="15">
                  <c:v>6.0606060606060606E-3</c:v>
                </c:pt>
                <c:pt idx="16">
                  <c:v>2.3052611632905146E-2</c:v>
                </c:pt>
                <c:pt idx="17">
                  <c:v>2.069452234638593E-2</c:v>
                </c:pt>
                <c:pt idx="18">
                  <c:v>3.9448700200871052E-3</c:v>
                </c:pt>
                <c:pt idx="19">
                  <c:v>0</c:v>
                </c:pt>
                <c:pt idx="20">
                  <c:v>2.8033987424903373E-2</c:v>
                </c:pt>
                <c:pt idx="21">
                  <c:v>8.1001368170391649E-2</c:v>
                </c:pt>
                <c:pt idx="22">
                  <c:v>0.10744485248544147</c:v>
                </c:pt>
                <c:pt idx="23">
                  <c:v>6.3021870571139685E-2</c:v>
                </c:pt>
              </c:numCache>
            </c:numRef>
          </c:val>
          <c:extLst>
            <c:ext xmlns:c16="http://schemas.microsoft.com/office/drawing/2014/chart" uri="{C3380CC4-5D6E-409C-BE32-E72D297353CC}">
              <c16:uniqueId val="{00000008-E736-4295-ADD4-1948B000F5EC}"/>
            </c:ext>
          </c:extLst>
        </c:ser>
        <c:dLbls>
          <c:showLegendKey val="0"/>
          <c:showVal val="0"/>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delle centrali di cogenerazione (CO)</a:t>
            </a:r>
          </a:p>
        </c:rich>
      </c:tx>
      <c:layout>
        <c:manualLayout>
          <c:xMode val="edge"/>
          <c:yMode val="edge"/>
          <c:x val="0.31873984686825391"/>
          <c:y val="1.27165354330708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1"/>
          <c:order val="0"/>
          <c:tx>
            <c:v>2011</c:v>
          </c:tx>
          <c:spPr>
            <a:solidFill>
              <a:schemeClr val="accent2"/>
            </a:solidFill>
            <a:ln>
              <a:noFill/>
            </a:ln>
            <a:effectLst/>
          </c:spPr>
          <c:invertIfNegative val="0"/>
          <c:cat>
            <c:strLit>
              <c:ptCount val="17"/>
              <c:pt idx="0">
                <c:v>2</c:v>
              </c:pt>
              <c:pt idx="1">
                <c:v>19</c:v>
              </c:pt>
              <c:pt idx="2">
                <c:v>22</c:v>
              </c:pt>
              <c:pt idx="3">
                <c:v>23</c:v>
              </c:pt>
              <c:pt idx="4">
                <c:v>24</c:v>
              </c:pt>
              <c:pt idx="5">
                <c:v>25</c:v>
              </c:pt>
              <c:pt idx="6">
                <c:v>28</c:v>
              </c:pt>
              <c:pt idx="7">
                <c:v>30</c:v>
              </c:pt>
              <c:pt idx="8">
                <c:v>32</c:v>
              </c:pt>
              <c:pt idx="9">
                <c:v>34</c:v>
              </c:pt>
              <c:pt idx="10">
                <c:v>37</c:v>
              </c:pt>
              <c:pt idx="11">
                <c:v>40</c:v>
              </c:pt>
              <c:pt idx="12">
                <c:v>41</c:v>
              </c:pt>
              <c:pt idx="13">
                <c:v>44</c:v>
              </c:pt>
              <c:pt idx="14">
                <c:v>46</c:v>
              </c:pt>
              <c:pt idx="15">
                <c:v>47</c:v>
              </c:pt>
              <c:pt idx="16">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corretta'!$CP$4:$CP$52</c15:sqref>
                  </c15:fullRef>
                </c:ext>
              </c:extLst>
              <c:f>('Analisi dati, formula corretta'!$CP$5,'Analisi dati, formula corretta'!$CP$22,'Analisi dati, formula corretta'!$CP$25:$CP$28,'Analisi dati, formula corretta'!$CP$31,'Analisi dati, formula corretta'!$CP$33,'Analisi dati, formula corretta'!$CP$35,'Analisi dati, formula corretta'!$CP$37,'Analisi dati, formula corretta'!$CP$40,'Analisi dati, formula corretta'!$CP$43:$CP$44,'Analisi dati, formula corretta'!$CP$47,'Analisi dati, formula corretta'!$CP$49:$CP$50,'Analisi dati, formula corretta'!$CP$52)</c:f>
              <c:numCache>
                <c:formatCode>#,##0.00000</c:formatCode>
                <c:ptCount val="17"/>
                <c:pt idx="0">
                  <c:v>8.0000000000000002E-3</c:v>
                </c:pt>
                <c:pt idx="1">
                  <c:v>4.6561902386297498E-3</c:v>
                </c:pt>
                <c:pt idx="2">
                  <c:v>0.10618053431222597</c:v>
                </c:pt>
                <c:pt idx="3">
                  <c:v>5.3333304888904053E-2</c:v>
                </c:pt>
                <c:pt idx="4">
                  <c:v>9.8399957648658234E-2</c:v>
                </c:pt>
                <c:pt idx="5">
                  <c:v>0</c:v>
                </c:pt>
                <c:pt idx="6">
                  <c:v>2.8224297174535413E-2</c:v>
                </c:pt>
                <c:pt idx="7">
                  <c:v>0.13854474044066994</c:v>
                </c:pt>
                <c:pt idx="8">
                  <c:v>0</c:v>
                </c:pt>
                <c:pt idx="9">
                  <c:v>1.2512437994295104E-2</c:v>
                </c:pt>
                <c:pt idx="10">
                  <c:v>0</c:v>
                </c:pt>
                <c:pt idx="11">
                  <c:v>0</c:v>
                </c:pt>
                <c:pt idx="12">
                  <c:v>0.30653958775908591</c:v>
                </c:pt>
                <c:pt idx="13">
                  <c:v>1.5288142993886185E-2</c:v>
                </c:pt>
                <c:pt idx="14">
                  <c:v>6.0049509476171097E-2</c:v>
                </c:pt>
                <c:pt idx="15">
                  <c:v>0</c:v>
                </c:pt>
                <c:pt idx="16">
                  <c:v>0</c:v>
                </c:pt>
              </c:numCache>
            </c:numRef>
          </c:val>
          <c:extLst>
            <c:ext xmlns:c16="http://schemas.microsoft.com/office/drawing/2014/chart" uri="{C3380CC4-5D6E-409C-BE32-E72D297353CC}">
              <c16:uniqueId val="{00000000-0CD1-4588-9F8A-3E02E32BB0D7}"/>
            </c:ext>
          </c:extLst>
        </c:ser>
        <c:ser>
          <c:idx val="0"/>
          <c:order val="1"/>
          <c:tx>
            <c:v>2012</c:v>
          </c:tx>
          <c:spPr>
            <a:solidFill>
              <a:schemeClr val="accent1"/>
            </a:solidFill>
            <a:ln>
              <a:noFill/>
            </a:ln>
            <a:effectLst/>
          </c:spPr>
          <c:invertIfNegative val="0"/>
          <c:cat>
            <c:strLit>
              <c:ptCount val="17"/>
              <c:pt idx="0">
                <c:v>2</c:v>
              </c:pt>
              <c:pt idx="1">
                <c:v>19</c:v>
              </c:pt>
              <c:pt idx="2">
                <c:v>22</c:v>
              </c:pt>
              <c:pt idx="3">
                <c:v>23</c:v>
              </c:pt>
              <c:pt idx="4">
                <c:v>24</c:v>
              </c:pt>
              <c:pt idx="5">
                <c:v>25</c:v>
              </c:pt>
              <c:pt idx="6">
                <c:v>28</c:v>
              </c:pt>
              <c:pt idx="7">
                <c:v>30</c:v>
              </c:pt>
              <c:pt idx="8">
                <c:v>32</c:v>
              </c:pt>
              <c:pt idx="9">
                <c:v>34</c:v>
              </c:pt>
              <c:pt idx="10">
                <c:v>37</c:v>
              </c:pt>
              <c:pt idx="11">
                <c:v>40</c:v>
              </c:pt>
              <c:pt idx="12">
                <c:v>41</c:v>
              </c:pt>
              <c:pt idx="13">
                <c:v>44</c:v>
              </c:pt>
              <c:pt idx="14">
                <c:v>46</c:v>
              </c:pt>
              <c:pt idx="15">
                <c:v>47</c:v>
              </c:pt>
              <c:pt idx="16">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corretta'!$CQ$4:$CQ$52</c15:sqref>
                  </c15:fullRef>
                </c:ext>
              </c:extLst>
              <c:f>('Analisi dati, formula corretta'!$CQ$5,'Analisi dati, formula corretta'!$CQ$22,'Analisi dati, formula corretta'!$CQ$25:$CQ$28,'Analisi dati, formula corretta'!$CQ$31,'Analisi dati, formula corretta'!$CQ$33,'Analisi dati, formula corretta'!$CQ$35,'Analisi dati, formula corretta'!$CQ$37,'Analisi dati, formula corretta'!$CQ$40,'Analisi dati, formula corretta'!$CQ$43:$CQ$44,'Analisi dati, formula corretta'!$CQ$47,'Analisi dati, formula corretta'!$CQ$49:$CQ$50,'Analisi dati, formula corretta'!$CQ$52)</c:f>
              <c:numCache>
                <c:formatCode>#,##0.00000</c:formatCode>
                <c:ptCount val="17"/>
                <c:pt idx="0">
                  <c:v>1.0344827586206896E-2</c:v>
                </c:pt>
                <c:pt idx="1">
                  <c:v>2.435464917933361E-2</c:v>
                </c:pt>
                <c:pt idx="2">
                  <c:v>9.6446624161351413E-2</c:v>
                </c:pt>
                <c:pt idx="3">
                  <c:v>6.9459647683657796E-2</c:v>
                </c:pt>
                <c:pt idx="4">
                  <c:v>8.4358870759658394E-2</c:v>
                </c:pt>
                <c:pt idx="5">
                  <c:v>0</c:v>
                </c:pt>
                <c:pt idx="6">
                  <c:v>2.9706702857573701E-2</c:v>
                </c:pt>
                <c:pt idx="7">
                  <c:v>0.17970683120869482</c:v>
                </c:pt>
                <c:pt idx="8">
                  <c:v>0</c:v>
                </c:pt>
                <c:pt idx="9">
                  <c:v>2.9936392240306038E-2</c:v>
                </c:pt>
                <c:pt idx="10">
                  <c:v>0</c:v>
                </c:pt>
                <c:pt idx="11">
                  <c:v>0.37291666666666662</c:v>
                </c:pt>
                <c:pt idx="12">
                  <c:v>0.19283074160214891</c:v>
                </c:pt>
                <c:pt idx="13">
                  <c:v>1.8585678293064362E-2</c:v>
                </c:pt>
                <c:pt idx="14">
                  <c:v>6.8494774639019373E-2</c:v>
                </c:pt>
                <c:pt idx="15">
                  <c:v>0</c:v>
                </c:pt>
                <c:pt idx="16">
                  <c:v>0.23725893733520179</c:v>
                </c:pt>
              </c:numCache>
            </c:numRef>
          </c:val>
          <c:extLst>
            <c:ext xmlns:c16="http://schemas.microsoft.com/office/drawing/2014/chart" uri="{C3380CC4-5D6E-409C-BE32-E72D297353CC}">
              <c16:uniqueId val="{00000001-0CD1-4588-9F8A-3E02E32BB0D7}"/>
            </c:ext>
          </c:extLst>
        </c:ser>
        <c:ser>
          <c:idx val="2"/>
          <c:order val="2"/>
          <c:tx>
            <c:v>2013</c:v>
          </c:tx>
          <c:spPr>
            <a:solidFill>
              <a:schemeClr val="accent3"/>
            </a:solidFill>
            <a:ln>
              <a:noFill/>
            </a:ln>
            <a:effectLst/>
          </c:spPr>
          <c:invertIfNegative val="0"/>
          <c:cat>
            <c:strLit>
              <c:ptCount val="17"/>
              <c:pt idx="0">
                <c:v>2</c:v>
              </c:pt>
              <c:pt idx="1">
                <c:v>19</c:v>
              </c:pt>
              <c:pt idx="2">
                <c:v>22</c:v>
              </c:pt>
              <c:pt idx="3">
                <c:v>23</c:v>
              </c:pt>
              <c:pt idx="4">
                <c:v>24</c:v>
              </c:pt>
              <c:pt idx="5">
                <c:v>25</c:v>
              </c:pt>
              <c:pt idx="6">
                <c:v>28</c:v>
              </c:pt>
              <c:pt idx="7">
                <c:v>30</c:v>
              </c:pt>
              <c:pt idx="8">
                <c:v>32</c:v>
              </c:pt>
              <c:pt idx="9">
                <c:v>34</c:v>
              </c:pt>
              <c:pt idx="10">
                <c:v>37</c:v>
              </c:pt>
              <c:pt idx="11">
                <c:v>40</c:v>
              </c:pt>
              <c:pt idx="12">
                <c:v>41</c:v>
              </c:pt>
              <c:pt idx="13">
                <c:v>44</c:v>
              </c:pt>
              <c:pt idx="14">
                <c:v>46</c:v>
              </c:pt>
              <c:pt idx="15">
                <c:v>47</c:v>
              </c:pt>
              <c:pt idx="16">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corretta'!$CR$4:$CR$52</c15:sqref>
                  </c15:fullRef>
                </c:ext>
              </c:extLst>
              <c:f>('Analisi dati, formula corretta'!$CR$5,'Analisi dati, formula corretta'!$CR$22,'Analisi dati, formula corretta'!$CR$25:$CR$28,'Analisi dati, formula corretta'!$CR$31,'Analisi dati, formula corretta'!$CR$33,'Analisi dati, formula corretta'!$CR$35,'Analisi dati, formula corretta'!$CR$37,'Analisi dati, formula corretta'!$CR$40,'Analisi dati, formula corretta'!$CR$43:$CR$44,'Analisi dati, formula corretta'!$CR$47,'Analisi dati, formula corretta'!$CR$49:$CR$50,'Analisi dati, formula corretta'!$CR$52)</c:f>
              <c:numCache>
                <c:formatCode>#,##0.00000</c:formatCode>
                <c:ptCount val="17"/>
                <c:pt idx="0">
                  <c:v>1.4598540145985401E-2</c:v>
                </c:pt>
                <c:pt idx="1">
                  <c:v>7.0331600151509938E-2</c:v>
                </c:pt>
                <c:pt idx="2">
                  <c:v>5.6267295142904343E-2</c:v>
                </c:pt>
                <c:pt idx="3">
                  <c:v>8.3003533855164124E-2</c:v>
                </c:pt>
                <c:pt idx="4">
                  <c:v>7.3777740381735804E-2</c:v>
                </c:pt>
                <c:pt idx="5">
                  <c:v>6.0368468343632914E-3</c:v>
                </c:pt>
                <c:pt idx="6">
                  <c:v>3.1409713589055248E-2</c:v>
                </c:pt>
                <c:pt idx="7">
                  <c:v>0.23515334819059749</c:v>
                </c:pt>
                <c:pt idx="8">
                  <c:v>0</c:v>
                </c:pt>
                <c:pt idx="9">
                  <c:v>2.5269599349735789E-2</c:v>
                </c:pt>
                <c:pt idx="10">
                  <c:v>0</c:v>
                </c:pt>
                <c:pt idx="11">
                  <c:v>0.17142254115660618</c:v>
                </c:pt>
                <c:pt idx="12">
                  <c:v>0.28662580159246509</c:v>
                </c:pt>
                <c:pt idx="13">
                  <c:v>1.7502598041896845E-2</c:v>
                </c:pt>
                <c:pt idx="14">
                  <c:v>8.2798145321544794E-2</c:v>
                </c:pt>
                <c:pt idx="15">
                  <c:v>1.5211879753712423E-2</c:v>
                </c:pt>
                <c:pt idx="16">
                  <c:v>0.4812286160582197</c:v>
                </c:pt>
              </c:numCache>
            </c:numRef>
          </c:val>
          <c:extLst>
            <c:ext xmlns:c16="http://schemas.microsoft.com/office/drawing/2014/chart" uri="{C3380CC4-5D6E-409C-BE32-E72D297353CC}">
              <c16:uniqueId val="{00000002-0CD1-4588-9F8A-3E02E32BB0D7}"/>
            </c:ext>
          </c:extLst>
        </c:ser>
        <c:ser>
          <c:idx val="3"/>
          <c:order val="3"/>
          <c:tx>
            <c:v>2014</c:v>
          </c:tx>
          <c:spPr>
            <a:solidFill>
              <a:schemeClr val="accent4"/>
            </a:solidFill>
            <a:ln>
              <a:noFill/>
            </a:ln>
            <a:effectLst/>
          </c:spPr>
          <c:invertIfNegative val="0"/>
          <c:cat>
            <c:strLit>
              <c:ptCount val="17"/>
              <c:pt idx="0">
                <c:v>2</c:v>
              </c:pt>
              <c:pt idx="1">
                <c:v>19</c:v>
              </c:pt>
              <c:pt idx="2">
                <c:v>22</c:v>
              </c:pt>
              <c:pt idx="3">
                <c:v>23</c:v>
              </c:pt>
              <c:pt idx="4">
                <c:v>24</c:v>
              </c:pt>
              <c:pt idx="5">
                <c:v>25</c:v>
              </c:pt>
              <c:pt idx="6">
                <c:v>28</c:v>
              </c:pt>
              <c:pt idx="7">
                <c:v>30</c:v>
              </c:pt>
              <c:pt idx="8">
                <c:v>32</c:v>
              </c:pt>
              <c:pt idx="9">
                <c:v>34</c:v>
              </c:pt>
              <c:pt idx="10">
                <c:v>37</c:v>
              </c:pt>
              <c:pt idx="11">
                <c:v>40</c:v>
              </c:pt>
              <c:pt idx="12">
                <c:v>41</c:v>
              </c:pt>
              <c:pt idx="13">
                <c:v>44</c:v>
              </c:pt>
              <c:pt idx="14">
                <c:v>46</c:v>
              </c:pt>
              <c:pt idx="15">
                <c:v>47</c:v>
              </c:pt>
              <c:pt idx="16">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corretta'!$CS$4:$CS$52</c15:sqref>
                  </c15:fullRef>
                </c:ext>
              </c:extLst>
              <c:f>('Analisi dati, formula corretta'!$CS$5,'Analisi dati, formula corretta'!$CS$22,'Analisi dati, formula corretta'!$CS$25:$CS$28,'Analisi dati, formula corretta'!$CS$31,'Analisi dati, formula corretta'!$CS$33,'Analisi dati, formula corretta'!$CS$35,'Analisi dati, formula corretta'!$CS$37,'Analisi dati, formula corretta'!$CS$40,'Analisi dati, formula corretta'!$CS$43:$CS$44,'Analisi dati, formula corretta'!$CS$47,'Analisi dati, formula corretta'!$CS$49:$CS$50,'Analisi dati, formula corretta'!$CS$52)</c:f>
              <c:numCache>
                <c:formatCode>#,##0.00000</c:formatCode>
                <c:ptCount val="17"/>
                <c:pt idx="0">
                  <c:v>1.4326647564469915E-2</c:v>
                </c:pt>
                <c:pt idx="1">
                  <c:v>0.10105119582343672</c:v>
                </c:pt>
                <c:pt idx="2">
                  <c:v>5.5371725923712777E-2</c:v>
                </c:pt>
                <c:pt idx="3">
                  <c:v>9.3578451424567943E-2</c:v>
                </c:pt>
                <c:pt idx="4">
                  <c:v>9.6778851420849035E-2</c:v>
                </c:pt>
                <c:pt idx="5">
                  <c:v>0</c:v>
                </c:pt>
                <c:pt idx="6">
                  <c:v>3.6223319196273376E-2</c:v>
                </c:pt>
                <c:pt idx="7">
                  <c:v>0.24116757982240694</c:v>
                </c:pt>
                <c:pt idx="8">
                  <c:v>0.10283836298559597</c:v>
                </c:pt>
                <c:pt idx="9">
                  <c:v>7.2655739848857892E-3</c:v>
                </c:pt>
                <c:pt idx="10">
                  <c:v>0</c:v>
                </c:pt>
                <c:pt idx="11">
                  <c:v>0.49112741827885259</c:v>
                </c:pt>
                <c:pt idx="12">
                  <c:v>0.2931259651790824</c:v>
                </c:pt>
                <c:pt idx="13">
                  <c:v>1.6629520431823672E-2</c:v>
                </c:pt>
                <c:pt idx="14">
                  <c:v>9.0427185045626218E-2</c:v>
                </c:pt>
                <c:pt idx="15">
                  <c:v>1.7409406606363184E-2</c:v>
                </c:pt>
                <c:pt idx="16">
                  <c:v>0.36681765544623091</c:v>
                </c:pt>
              </c:numCache>
            </c:numRef>
          </c:val>
          <c:extLst>
            <c:ext xmlns:c16="http://schemas.microsoft.com/office/drawing/2014/chart" uri="{C3380CC4-5D6E-409C-BE32-E72D297353CC}">
              <c16:uniqueId val="{00000003-0CD1-4588-9F8A-3E02E32BB0D7}"/>
            </c:ext>
          </c:extLst>
        </c:ser>
        <c:ser>
          <c:idx val="4"/>
          <c:order val="4"/>
          <c:tx>
            <c:v>2015</c:v>
          </c:tx>
          <c:spPr>
            <a:solidFill>
              <a:schemeClr val="accent5"/>
            </a:solidFill>
            <a:ln>
              <a:noFill/>
            </a:ln>
            <a:effectLst/>
          </c:spPr>
          <c:invertIfNegative val="0"/>
          <c:cat>
            <c:strLit>
              <c:ptCount val="17"/>
              <c:pt idx="0">
                <c:v>2</c:v>
              </c:pt>
              <c:pt idx="1">
                <c:v>19</c:v>
              </c:pt>
              <c:pt idx="2">
                <c:v>22</c:v>
              </c:pt>
              <c:pt idx="3">
                <c:v>23</c:v>
              </c:pt>
              <c:pt idx="4">
                <c:v>24</c:v>
              </c:pt>
              <c:pt idx="5">
                <c:v>25</c:v>
              </c:pt>
              <c:pt idx="6">
                <c:v>28</c:v>
              </c:pt>
              <c:pt idx="7">
                <c:v>30</c:v>
              </c:pt>
              <c:pt idx="8">
                <c:v>32</c:v>
              </c:pt>
              <c:pt idx="9">
                <c:v>34</c:v>
              </c:pt>
              <c:pt idx="10">
                <c:v>37</c:v>
              </c:pt>
              <c:pt idx="11">
                <c:v>40</c:v>
              </c:pt>
              <c:pt idx="12">
                <c:v>41</c:v>
              </c:pt>
              <c:pt idx="13">
                <c:v>44</c:v>
              </c:pt>
              <c:pt idx="14">
                <c:v>46</c:v>
              </c:pt>
              <c:pt idx="15">
                <c:v>47</c:v>
              </c:pt>
              <c:pt idx="16">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corretta'!$CT$4:$CT$52</c15:sqref>
                  </c15:fullRef>
                </c:ext>
              </c:extLst>
              <c:f>('Analisi dati, formula corretta'!$CT$5,'Analisi dati, formula corretta'!$CT$22,'Analisi dati, formula corretta'!$CT$25:$CT$28,'Analisi dati, formula corretta'!$CT$31,'Analisi dati, formula corretta'!$CT$33,'Analisi dati, formula corretta'!$CT$35,'Analisi dati, formula corretta'!$CT$37,'Analisi dati, formula corretta'!$CT$40,'Analisi dati, formula corretta'!$CT$43:$CT$44,'Analisi dati, formula corretta'!$CT$47,'Analisi dati, formula corretta'!$CT$49:$CT$50,'Analisi dati, formula corretta'!$CT$52)</c:f>
              <c:numCache>
                <c:formatCode>#,##0.00000</c:formatCode>
                <c:ptCount val="17"/>
                <c:pt idx="0">
                  <c:v>1.3050570962479609E-2</c:v>
                </c:pt>
                <c:pt idx="1">
                  <c:v>1.9558676028084251E-2</c:v>
                </c:pt>
                <c:pt idx="2">
                  <c:v>4.7788723016322449E-2</c:v>
                </c:pt>
                <c:pt idx="3">
                  <c:v>8.0214901727561808E-2</c:v>
                </c:pt>
                <c:pt idx="4">
                  <c:v>8.660045997353201E-2</c:v>
                </c:pt>
                <c:pt idx="5">
                  <c:v>0</c:v>
                </c:pt>
                <c:pt idx="6">
                  <c:v>5.7328175074373419E-2</c:v>
                </c:pt>
                <c:pt idx="7">
                  <c:v>0.10106684796777476</c:v>
                </c:pt>
                <c:pt idx="8">
                  <c:v>8.618092727701944E-2</c:v>
                </c:pt>
                <c:pt idx="9">
                  <c:v>8.9422242888696143E-3</c:v>
                </c:pt>
                <c:pt idx="10">
                  <c:v>0.13705311999562347</c:v>
                </c:pt>
                <c:pt idx="11">
                  <c:v>3.2736106893410263E-2</c:v>
                </c:pt>
                <c:pt idx="12">
                  <c:v>9.0574845897503378E-2</c:v>
                </c:pt>
                <c:pt idx="13">
                  <c:v>1.5107186699591347E-2</c:v>
                </c:pt>
                <c:pt idx="14">
                  <c:v>8.2742539067642035E-2</c:v>
                </c:pt>
                <c:pt idx="15">
                  <c:v>2.2954069503133827E-2</c:v>
                </c:pt>
                <c:pt idx="16">
                  <c:v>9.0574845897503378E-2</c:v>
                </c:pt>
              </c:numCache>
            </c:numRef>
          </c:val>
          <c:extLst>
            <c:ext xmlns:c16="http://schemas.microsoft.com/office/drawing/2014/chart" uri="{C3380CC4-5D6E-409C-BE32-E72D297353CC}">
              <c16:uniqueId val="{00000004-0CD1-4588-9F8A-3E02E32BB0D7}"/>
            </c:ext>
          </c:extLst>
        </c:ser>
        <c:ser>
          <c:idx val="5"/>
          <c:order val="5"/>
          <c:tx>
            <c:v>2016</c:v>
          </c:tx>
          <c:spPr>
            <a:solidFill>
              <a:schemeClr val="accent6"/>
            </a:solidFill>
            <a:ln>
              <a:noFill/>
            </a:ln>
            <a:effectLst/>
          </c:spPr>
          <c:invertIfNegative val="0"/>
          <c:cat>
            <c:strLit>
              <c:ptCount val="17"/>
              <c:pt idx="0">
                <c:v>2</c:v>
              </c:pt>
              <c:pt idx="1">
                <c:v>19</c:v>
              </c:pt>
              <c:pt idx="2">
                <c:v>22</c:v>
              </c:pt>
              <c:pt idx="3">
                <c:v>23</c:v>
              </c:pt>
              <c:pt idx="4">
                <c:v>24</c:v>
              </c:pt>
              <c:pt idx="5">
                <c:v>25</c:v>
              </c:pt>
              <c:pt idx="6">
                <c:v>28</c:v>
              </c:pt>
              <c:pt idx="7">
                <c:v>30</c:v>
              </c:pt>
              <c:pt idx="8">
                <c:v>32</c:v>
              </c:pt>
              <c:pt idx="9">
                <c:v>34</c:v>
              </c:pt>
              <c:pt idx="10">
                <c:v>37</c:v>
              </c:pt>
              <c:pt idx="11">
                <c:v>40</c:v>
              </c:pt>
              <c:pt idx="12">
                <c:v>41</c:v>
              </c:pt>
              <c:pt idx="13">
                <c:v>44</c:v>
              </c:pt>
              <c:pt idx="14">
                <c:v>46</c:v>
              </c:pt>
              <c:pt idx="15">
                <c:v>47</c:v>
              </c:pt>
              <c:pt idx="16">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corretta'!$CU$4:$CU$52</c15:sqref>
                  </c15:fullRef>
                </c:ext>
              </c:extLst>
              <c:f>('Analisi dati, formula corretta'!$CU$5,'Analisi dati, formula corretta'!$CU$22,'Analisi dati, formula corretta'!$CU$25:$CU$28,'Analisi dati, formula corretta'!$CU$31,'Analisi dati, formula corretta'!$CU$33,'Analisi dati, formula corretta'!$CU$35,'Analisi dati, formula corretta'!$CU$37,'Analisi dati, formula corretta'!$CU$40,'Analisi dati, formula corretta'!$CU$43:$CU$44,'Analisi dati, formula corretta'!$CU$47,'Analisi dati, formula corretta'!$CU$49:$CU$50,'Analisi dati, formula corretta'!$CU$52)</c:f>
              <c:numCache>
                <c:formatCode>#,##0.00000</c:formatCode>
                <c:ptCount val="17"/>
                <c:pt idx="0">
                  <c:v>6.3775510204081634E-3</c:v>
                </c:pt>
                <c:pt idx="1">
                  <c:v>2.2842087452563387E-2</c:v>
                </c:pt>
                <c:pt idx="2">
                  <c:v>6.378621788260673E-2</c:v>
                </c:pt>
                <c:pt idx="3">
                  <c:v>8.9305017126614775E-2</c:v>
                </c:pt>
                <c:pt idx="4">
                  <c:v>8.0899313212944621E-2</c:v>
                </c:pt>
                <c:pt idx="5">
                  <c:v>3.059169770929039E-3</c:v>
                </c:pt>
                <c:pt idx="6">
                  <c:v>5.8759996914135831E-2</c:v>
                </c:pt>
                <c:pt idx="7">
                  <c:v>0.17516389361437287</c:v>
                </c:pt>
                <c:pt idx="8">
                  <c:v>9.1084627069986962E-2</c:v>
                </c:pt>
                <c:pt idx="9">
                  <c:v>7.28985938902647E-3</c:v>
                </c:pt>
                <c:pt idx="10">
                  <c:v>7.4905123467569723E-2</c:v>
                </c:pt>
                <c:pt idx="11">
                  <c:v>8.2044809088040391E-3</c:v>
                </c:pt>
                <c:pt idx="12">
                  <c:v>4.3522725667550298E-2</c:v>
                </c:pt>
                <c:pt idx="13">
                  <c:v>1.564996008077137E-2</c:v>
                </c:pt>
                <c:pt idx="14">
                  <c:v>9.2154885019058844E-2</c:v>
                </c:pt>
                <c:pt idx="15">
                  <c:v>1.2885845045278978E-2</c:v>
                </c:pt>
                <c:pt idx="16">
                  <c:v>4.3522725667550298E-2</c:v>
                </c:pt>
              </c:numCache>
            </c:numRef>
          </c:val>
          <c:extLst>
            <c:ext xmlns:c16="http://schemas.microsoft.com/office/drawing/2014/chart" uri="{C3380CC4-5D6E-409C-BE32-E72D297353CC}">
              <c16:uniqueId val="{00000005-0CD1-4588-9F8A-3E02E32BB0D7}"/>
            </c:ext>
          </c:extLst>
        </c:ser>
        <c:ser>
          <c:idx val="6"/>
          <c:order val="6"/>
          <c:tx>
            <c:v>2017</c:v>
          </c:tx>
          <c:spPr>
            <a:solidFill>
              <a:schemeClr val="accent1">
                <a:lumMod val="60000"/>
              </a:schemeClr>
            </a:solidFill>
            <a:ln>
              <a:noFill/>
            </a:ln>
            <a:effectLst/>
          </c:spPr>
          <c:invertIfNegative val="0"/>
          <c:cat>
            <c:strLit>
              <c:ptCount val="17"/>
              <c:pt idx="0">
                <c:v>2</c:v>
              </c:pt>
              <c:pt idx="1">
                <c:v>19</c:v>
              </c:pt>
              <c:pt idx="2">
                <c:v>22</c:v>
              </c:pt>
              <c:pt idx="3">
                <c:v>23</c:v>
              </c:pt>
              <c:pt idx="4">
                <c:v>24</c:v>
              </c:pt>
              <c:pt idx="5">
                <c:v>25</c:v>
              </c:pt>
              <c:pt idx="6">
                <c:v>28</c:v>
              </c:pt>
              <c:pt idx="7">
                <c:v>30</c:v>
              </c:pt>
              <c:pt idx="8">
                <c:v>32</c:v>
              </c:pt>
              <c:pt idx="9">
                <c:v>34</c:v>
              </c:pt>
              <c:pt idx="10">
                <c:v>37</c:v>
              </c:pt>
              <c:pt idx="11">
                <c:v>40</c:v>
              </c:pt>
              <c:pt idx="12">
                <c:v>41</c:v>
              </c:pt>
              <c:pt idx="13">
                <c:v>44</c:v>
              </c:pt>
              <c:pt idx="14">
                <c:v>46</c:v>
              </c:pt>
              <c:pt idx="15">
                <c:v>47</c:v>
              </c:pt>
              <c:pt idx="16">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corretta'!$CV$4:$CV$52</c15:sqref>
                  </c15:fullRef>
                </c:ext>
              </c:extLst>
              <c:f>('Analisi dati, formula corretta'!$CV$5,'Analisi dati, formula corretta'!$CV$22,'Analisi dati, formula corretta'!$CV$25:$CV$28,'Analisi dati, formula corretta'!$CV$31,'Analisi dati, formula corretta'!$CV$33,'Analisi dati, formula corretta'!$CV$35,'Analisi dati, formula corretta'!$CV$37,'Analisi dati, formula corretta'!$CV$40,'Analisi dati, formula corretta'!$CV$43:$CV$44,'Analisi dati, formula corretta'!$CV$47,'Analisi dati, formula corretta'!$CV$49:$CV$50,'Analisi dati, formula corretta'!$CV$52)</c:f>
              <c:numCache>
                <c:formatCode>#,##0.00000</c:formatCode>
                <c:ptCount val="17"/>
                <c:pt idx="0">
                  <c:v>5.1511210127103916E-3</c:v>
                </c:pt>
                <c:pt idx="1">
                  <c:v>1.2533744697261859E-2</c:v>
                </c:pt>
                <c:pt idx="2">
                  <c:v>5.5241746517633694E-2</c:v>
                </c:pt>
                <c:pt idx="3">
                  <c:v>9.0717303650116876E-2</c:v>
                </c:pt>
                <c:pt idx="4">
                  <c:v>5.7425766941626703E-2</c:v>
                </c:pt>
                <c:pt idx="5">
                  <c:v>0</c:v>
                </c:pt>
                <c:pt idx="6">
                  <c:v>4.9549103161232781E-2</c:v>
                </c:pt>
                <c:pt idx="7">
                  <c:v>0.25304070231444531</c:v>
                </c:pt>
                <c:pt idx="8">
                  <c:v>9.0925105150298585E-2</c:v>
                </c:pt>
                <c:pt idx="9">
                  <c:v>2.6455166429452007E-3</c:v>
                </c:pt>
                <c:pt idx="10">
                  <c:v>6.1906452919403734E-2</c:v>
                </c:pt>
                <c:pt idx="11">
                  <c:v>8.4459459459459464E-3</c:v>
                </c:pt>
                <c:pt idx="12">
                  <c:v>3.7566287241719502E-2</c:v>
                </c:pt>
                <c:pt idx="13">
                  <c:v>1.6178362029090166E-2</c:v>
                </c:pt>
                <c:pt idx="14">
                  <c:v>8.6881743308775947E-2</c:v>
                </c:pt>
                <c:pt idx="15">
                  <c:v>6.2286221021071739E-3</c:v>
                </c:pt>
                <c:pt idx="16">
                  <c:v>5.9839263393556615E-2</c:v>
                </c:pt>
              </c:numCache>
            </c:numRef>
          </c:val>
          <c:extLst>
            <c:ext xmlns:c16="http://schemas.microsoft.com/office/drawing/2014/chart" uri="{C3380CC4-5D6E-409C-BE32-E72D297353CC}">
              <c16:uniqueId val="{00000006-0CD1-4588-9F8A-3E02E32BB0D7}"/>
            </c:ext>
          </c:extLst>
        </c:ser>
        <c:ser>
          <c:idx val="7"/>
          <c:order val="7"/>
          <c:tx>
            <c:v>2018</c:v>
          </c:tx>
          <c:spPr>
            <a:solidFill>
              <a:schemeClr val="accent2">
                <a:lumMod val="60000"/>
              </a:schemeClr>
            </a:solidFill>
            <a:ln>
              <a:noFill/>
            </a:ln>
            <a:effectLst/>
          </c:spPr>
          <c:invertIfNegative val="0"/>
          <c:cat>
            <c:strLit>
              <c:ptCount val="17"/>
              <c:pt idx="0">
                <c:v>2</c:v>
              </c:pt>
              <c:pt idx="1">
                <c:v>19</c:v>
              </c:pt>
              <c:pt idx="2">
                <c:v>22</c:v>
              </c:pt>
              <c:pt idx="3">
                <c:v>23</c:v>
              </c:pt>
              <c:pt idx="4">
                <c:v>24</c:v>
              </c:pt>
              <c:pt idx="5">
                <c:v>25</c:v>
              </c:pt>
              <c:pt idx="6">
                <c:v>28</c:v>
              </c:pt>
              <c:pt idx="7">
                <c:v>30</c:v>
              </c:pt>
              <c:pt idx="8">
                <c:v>32</c:v>
              </c:pt>
              <c:pt idx="9">
                <c:v>34</c:v>
              </c:pt>
              <c:pt idx="10">
                <c:v>37</c:v>
              </c:pt>
              <c:pt idx="11">
                <c:v>40</c:v>
              </c:pt>
              <c:pt idx="12">
                <c:v>41</c:v>
              </c:pt>
              <c:pt idx="13">
                <c:v>44</c:v>
              </c:pt>
              <c:pt idx="14">
                <c:v>46</c:v>
              </c:pt>
              <c:pt idx="15">
                <c:v>47</c:v>
              </c:pt>
              <c:pt idx="16">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corretta'!$CW$4:$CW$52</c15:sqref>
                  </c15:fullRef>
                </c:ext>
              </c:extLst>
              <c:f>('Analisi dati, formula corretta'!$CW$5,'Analisi dati, formula corretta'!$CW$22,'Analisi dati, formula corretta'!$CW$25:$CW$28,'Analisi dati, formula corretta'!$CW$31,'Analisi dati, formula corretta'!$CW$33,'Analisi dati, formula corretta'!$CW$35,'Analisi dati, formula corretta'!$CW$37,'Analisi dati, formula corretta'!$CW$40,'Analisi dati, formula corretta'!$CW$43:$CW$44,'Analisi dati, formula corretta'!$CW$47,'Analisi dati, formula corretta'!$CW$49:$CW$50,'Analisi dati, formula corretta'!$CW$52)</c:f>
              <c:numCache>
                <c:formatCode>#,##0.00000</c:formatCode>
                <c:ptCount val="17"/>
                <c:pt idx="0">
                  <c:v>3.7734225772929012E-3</c:v>
                </c:pt>
                <c:pt idx="1">
                  <c:v>1.7977772935280016E-2</c:v>
                </c:pt>
                <c:pt idx="2">
                  <c:v>5.9334871711332227E-2</c:v>
                </c:pt>
                <c:pt idx="3">
                  <c:v>6.4135578726422893E-2</c:v>
                </c:pt>
                <c:pt idx="4">
                  <c:v>5.8817142029824812E-2</c:v>
                </c:pt>
                <c:pt idx="5">
                  <c:v>0</c:v>
                </c:pt>
                <c:pt idx="6">
                  <c:v>4.2375480208978029E-2</c:v>
                </c:pt>
                <c:pt idx="7">
                  <c:v>0.18409314545736077</c:v>
                </c:pt>
                <c:pt idx="8">
                  <c:v>0.11715960517407262</c:v>
                </c:pt>
                <c:pt idx="9">
                  <c:v>4.4953437229717456E-3</c:v>
                </c:pt>
                <c:pt idx="10">
                  <c:v>0.12529496402877696</c:v>
                </c:pt>
                <c:pt idx="11">
                  <c:v>5.8195926285160042E-3</c:v>
                </c:pt>
                <c:pt idx="12">
                  <c:v>6.0768111627279929E-2</c:v>
                </c:pt>
                <c:pt idx="13">
                  <c:v>1.6513903161996638E-2</c:v>
                </c:pt>
                <c:pt idx="14">
                  <c:v>7.3544005897697634E-2</c:v>
                </c:pt>
                <c:pt idx="15">
                  <c:v>9.7449059846767116E-3</c:v>
                </c:pt>
                <c:pt idx="16">
                  <c:v>0.14606948015218388</c:v>
                </c:pt>
              </c:numCache>
            </c:numRef>
          </c:val>
          <c:extLst>
            <c:ext xmlns:c16="http://schemas.microsoft.com/office/drawing/2014/chart" uri="{C3380CC4-5D6E-409C-BE32-E72D297353CC}">
              <c16:uniqueId val="{00000007-0CD1-4588-9F8A-3E02E32BB0D7}"/>
            </c:ext>
          </c:extLst>
        </c:ser>
        <c:ser>
          <c:idx val="8"/>
          <c:order val="8"/>
          <c:tx>
            <c:v>2019</c:v>
          </c:tx>
          <c:spPr>
            <a:solidFill>
              <a:schemeClr val="accent3">
                <a:lumMod val="60000"/>
              </a:schemeClr>
            </a:solidFill>
            <a:ln>
              <a:noFill/>
            </a:ln>
            <a:effectLst/>
          </c:spPr>
          <c:invertIfNegative val="0"/>
          <c:cat>
            <c:strLit>
              <c:ptCount val="17"/>
              <c:pt idx="0">
                <c:v>2</c:v>
              </c:pt>
              <c:pt idx="1">
                <c:v>19</c:v>
              </c:pt>
              <c:pt idx="2">
                <c:v>22</c:v>
              </c:pt>
              <c:pt idx="3">
                <c:v>23</c:v>
              </c:pt>
              <c:pt idx="4">
                <c:v>24</c:v>
              </c:pt>
              <c:pt idx="5">
                <c:v>25</c:v>
              </c:pt>
              <c:pt idx="6">
                <c:v>28</c:v>
              </c:pt>
              <c:pt idx="7">
                <c:v>30</c:v>
              </c:pt>
              <c:pt idx="8">
                <c:v>32</c:v>
              </c:pt>
              <c:pt idx="9">
                <c:v>34</c:v>
              </c:pt>
              <c:pt idx="10">
                <c:v>37</c:v>
              </c:pt>
              <c:pt idx="11">
                <c:v>40</c:v>
              </c:pt>
              <c:pt idx="12">
                <c:v>41</c:v>
              </c:pt>
              <c:pt idx="13">
                <c:v>44</c:v>
              </c:pt>
              <c:pt idx="14">
                <c:v>46</c:v>
              </c:pt>
              <c:pt idx="15">
                <c:v>47</c:v>
              </c:pt>
              <c:pt idx="16">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corretta'!$CX$4:$CX$52</c15:sqref>
                  </c15:fullRef>
                </c:ext>
              </c:extLst>
              <c:f>('Analisi dati, formula corretta'!$CX$5,'Analisi dati, formula corretta'!$CX$22,'Analisi dati, formula corretta'!$CX$25:$CX$28,'Analisi dati, formula corretta'!$CX$31,'Analisi dati, formula corretta'!$CX$33,'Analisi dati, formula corretta'!$CX$35,'Analisi dati, formula corretta'!$CX$37,'Analisi dati, formula corretta'!$CX$40,'Analisi dati, formula corretta'!$CX$43:$CX$44,'Analisi dati, formula corretta'!$CX$47,'Analisi dati, formula corretta'!$CX$49:$CX$50,'Analisi dati, formula corretta'!$CX$52)</c:f>
              <c:numCache>
                <c:formatCode>#,##0.00000</c:formatCode>
                <c:ptCount val="17"/>
                <c:pt idx="0">
                  <c:v>1.9575752471438747E-2</c:v>
                </c:pt>
                <c:pt idx="1">
                  <c:v>1.8793067446230945E-2</c:v>
                </c:pt>
                <c:pt idx="2">
                  <c:v>5.6634743154575437E-2</c:v>
                </c:pt>
                <c:pt idx="3">
                  <c:v>7.6345931048172375E-2</c:v>
                </c:pt>
                <c:pt idx="4">
                  <c:v>1.2845568737555855E-2</c:v>
                </c:pt>
                <c:pt idx="5">
                  <c:v>1.7943326802695083E-2</c:v>
                </c:pt>
                <c:pt idx="6">
                  <c:v>4.3443317331711445E-2</c:v>
                </c:pt>
                <c:pt idx="7">
                  <c:v>8.6979124498779162E-2</c:v>
                </c:pt>
                <c:pt idx="8">
                  <c:v>7.3761794028813513E-2</c:v>
                </c:pt>
                <c:pt idx="9">
                  <c:v>2.8484266715279815E-3</c:v>
                </c:pt>
                <c:pt idx="10">
                  <c:v>0.16344666069027342</c:v>
                </c:pt>
                <c:pt idx="11">
                  <c:v>8.1383519837232958E-3</c:v>
                </c:pt>
                <c:pt idx="12">
                  <c:v>5.7061396559161495E-2</c:v>
                </c:pt>
                <c:pt idx="13">
                  <c:v>1.5516445891275954E-2</c:v>
                </c:pt>
                <c:pt idx="14">
                  <c:v>8.1284110296285045E-2</c:v>
                </c:pt>
                <c:pt idx="15">
                  <c:v>1.4423093277273763E-2</c:v>
                </c:pt>
                <c:pt idx="16">
                  <c:v>0.11183195447877999</c:v>
                </c:pt>
              </c:numCache>
            </c:numRef>
          </c:val>
          <c:extLst>
            <c:ext xmlns:c16="http://schemas.microsoft.com/office/drawing/2014/chart" uri="{C3380CC4-5D6E-409C-BE32-E72D297353CC}">
              <c16:uniqueId val="{00000008-0CD1-4588-9F8A-3E02E32BB0D7}"/>
            </c:ext>
          </c:extLst>
        </c:ser>
        <c:dLbls>
          <c:showLegendKey val="0"/>
          <c:showVal val="0"/>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delle centrali a ciclo combinato (SOx)</a:t>
            </a:r>
          </a:p>
        </c:rich>
      </c:tx>
      <c:layout>
        <c:manualLayout>
          <c:xMode val="edge"/>
          <c:yMode val="edge"/>
          <c:x val="0.41472906954128891"/>
          <c:y val="1.788452799989148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1"/>
          <c:order val="0"/>
          <c:tx>
            <c:v>2011</c:v>
          </c:tx>
          <c:spPr>
            <a:solidFill>
              <a:schemeClr val="accent2"/>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corretta'!$DM$4:$DM$52</c15:sqref>
                  </c15:fullRef>
                </c:ext>
              </c:extLst>
              <c:f>('Analisi dati, formula corretta'!$DM$4,'Analisi dati, formula corretta'!$DM$7,'Analisi dati, formula corretta'!$DM$9,'Analisi dati, formula corretta'!$DM$11,'Analisi dati, formula corretta'!$DM$13:$DM$16,'Analisi dati, formula corretta'!$DM$19:$DM$21,'Analisi dati, formula corretta'!$DM$23:$DM$24,'Analisi dati, formula corretta'!$DM$29:$DM$30,'Analisi dati, formula corretta'!$DM$32,'Analisi dati, formula corretta'!$DM$34,'Analisi dati, formula corretta'!$DM$38:$DM$39,'Analisi dati, formula corretta'!$DM$41:$DM$42,'Analisi dati, formula corretta'!$DM$46,'Analisi dati, formula corretta'!$DM$48,'Analisi dati, formula corretta'!$DM$51)</c:f>
              <c:numCache>
                <c:formatCode>#,##0.00000</c:formatCode>
                <c:ptCount val="24"/>
                <c:pt idx="0">
                  <c:v>0</c:v>
                </c:pt>
                <c:pt idx="1">
                  <c:v>0</c:v>
                </c:pt>
                <c:pt idx="2">
                  <c:v>2.9E-4</c:v>
                </c:pt>
                <c:pt idx="3">
                  <c:v>0</c:v>
                </c:pt>
                <c:pt idx="4">
                  <c:v>0</c:v>
                </c:pt>
                <c:pt idx="5">
                  <c:v>0</c:v>
                </c:pt>
                <c:pt idx="6">
                  <c:v>0</c:v>
                </c:pt>
                <c:pt idx="7" formatCode="#,##0.0000000000">
                  <c:v>1.1884953648680771E-6</c:v>
                </c:pt>
                <c:pt idx="8">
                  <c:v>0</c:v>
                </c:pt>
                <c:pt idx="9">
                  <c:v>0</c:v>
                </c:pt>
                <c:pt idx="10">
                  <c:v>0</c:v>
                </c:pt>
                <c:pt idx="11">
                  <c:v>0</c:v>
                </c:pt>
                <c:pt idx="12">
                  <c:v>0</c:v>
                </c:pt>
                <c:pt idx="13">
                  <c:v>0</c:v>
                </c:pt>
                <c:pt idx="14">
                  <c:v>1.3077991951265249E-3</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0-3359-4D9C-9E73-DD86950E159B}"/>
            </c:ext>
          </c:extLst>
        </c:ser>
        <c:ser>
          <c:idx val="0"/>
          <c:order val="1"/>
          <c:tx>
            <c:v>2012</c:v>
          </c:tx>
          <c:spPr>
            <a:solidFill>
              <a:schemeClr val="accent1"/>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corretta'!$DN$4:$DN$52</c15:sqref>
                  </c15:fullRef>
                </c:ext>
              </c:extLst>
              <c:f>('Analisi dati, formula corretta'!$DN$4,'Analisi dati, formula corretta'!$DN$7,'Analisi dati, formula corretta'!$DN$9,'Analisi dati, formula corretta'!$DN$11,'Analisi dati, formula corretta'!$DN$13:$DN$16,'Analisi dati, formula corretta'!$DN$19:$DN$21,'Analisi dati, formula corretta'!$DN$23:$DN$24,'Analisi dati, formula corretta'!$DN$29:$DN$30,'Analisi dati, formula corretta'!$DN$32,'Analisi dati, formula corretta'!$DN$34,'Analisi dati, formula corretta'!$DN$38:$DN$39,'Analisi dati, formula corretta'!$DN$41:$DN$42,'Analisi dati, formula corretta'!$DN$46,'Analisi dati, formula corretta'!$DN$48,'Analisi dati, formula corretta'!$DN$51)</c:f>
              <c:numCache>
                <c:formatCode>#,##0.00000</c:formatCode>
                <c:ptCount val="24"/>
                <c:pt idx="0">
                  <c:v>0</c:v>
                </c:pt>
                <c:pt idx="1">
                  <c:v>0</c:v>
                </c:pt>
                <c:pt idx="2">
                  <c:v>1.1E-4</c:v>
                </c:pt>
                <c:pt idx="3">
                  <c:v>0</c:v>
                </c:pt>
                <c:pt idx="4">
                  <c:v>0</c:v>
                </c:pt>
                <c:pt idx="5">
                  <c:v>0</c:v>
                </c:pt>
                <c:pt idx="6">
                  <c:v>0</c:v>
                </c:pt>
                <c:pt idx="7">
                  <c:v>7.1359380045205043E-3</c:v>
                </c:pt>
                <c:pt idx="8">
                  <c:v>0</c:v>
                </c:pt>
                <c:pt idx="9">
                  <c:v>0</c:v>
                </c:pt>
                <c:pt idx="10">
                  <c:v>0</c:v>
                </c:pt>
                <c:pt idx="11">
                  <c:v>0</c:v>
                </c:pt>
                <c:pt idx="12">
                  <c:v>0</c:v>
                </c:pt>
                <c:pt idx="13">
                  <c:v>0</c:v>
                </c:pt>
                <c:pt idx="14">
                  <c:v>3.0868577916548399E-3</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1-3359-4D9C-9E73-DD86950E159B}"/>
            </c:ext>
          </c:extLst>
        </c:ser>
        <c:ser>
          <c:idx val="2"/>
          <c:order val="2"/>
          <c:tx>
            <c:v>2013</c:v>
          </c:tx>
          <c:spPr>
            <a:solidFill>
              <a:schemeClr val="accent3"/>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corretta'!$DO$4:$DO$52</c15:sqref>
                  </c15:fullRef>
                </c:ext>
              </c:extLst>
              <c:f>('Analisi dati, formula corretta'!$DO$4,'Analisi dati, formula corretta'!$DO$7,'Analisi dati, formula corretta'!$DO$9,'Analisi dati, formula corretta'!$DO$11,'Analisi dati, formula corretta'!$DO$13:$DO$16,'Analisi dati, formula corretta'!$DO$19:$DO$21,'Analisi dati, formula corretta'!$DO$23:$DO$24,'Analisi dati, formula corretta'!$DO$29:$DO$30,'Analisi dati, formula corretta'!$DO$32,'Analisi dati, formula corretta'!$DO$34,'Analisi dati, formula corretta'!$DO$38:$DO$39,'Analisi dati, formula corretta'!$DO$41:$DO$42,'Analisi dati, formula corretta'!$DO$46,'Analisi dati, formula corretta'!$DO$48,'Analisi dati, formula corretta'!$DO$51)</c:f>
              <c:numCache>
                <c:formatCode>#,##0.00000</c:formatCode>
                <c:ptCount val="24"/>
                <c:pt idx="0">
                  <c:v>0</c:v>
                </c:pt>
                <c:pt idx="1">
                  <c:v>0</c:v>
                </c:pt>
                <c:pt idx="2">
                  <c:v>7.5833080556398145E-5</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2-3359-4D9C-9E73-DD86950E159B}"/>
            </c:ext>
          </c:extLst>
        </c:ser>
        <c:ser>
          <c:idx val="3"/>
          <c:order val="3"/>
          <c:tx>
            <c:v>2014</c:v>
          </c:tx>
          <c:spPr>
            <a:solidFill>
              <a:schemeClr val="accent4"/>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corretta'!$DP$4:$DP$52</c15:sqref>
                  </c15:fullRef>
                </c:ext>
              </c:extLst>
              <c:f>('Analisi dati, formula corretta'!$DP$4,'Analisi dati, formula corretta'!$DP$7,'Analisi dati, formula corretta'!$DP$9,'Analisi dati, formula corretta'!$DP$11,'Analisi dati, formula corretta'!$DP$13:$DP$16,'Analisi dati, formula corretta'!$DP$19:$DP$21,'Analisi dati, formula corretta'!$DP$23:$DP$24,'Analisi dati, formula corretta'!$DP$29:$DP$30,'Analisi dati, formula corretta'!$DP$32,'Analisi dati, formula corretta'!$DP$34,'Analisi dati, formula corretta'!$DP$38:$DP$39,'Analisi dati, formula corretta'!$DP$41:$DP$42,'Analisi dati, formula corretta'!$DP$46,'Analisi dati, formula corretta'!$DP$48,'Analisi dati, formula corretta'!$DP$51)</c:f>
              <c:numCache>
                <c:formatCode>#,##0.00000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3-3359-4D9C-9E73-DD86950E159B}"/>
            </c:ext>
          </c:extLst>
        </c:ser>
        <c:ser>
          <c:idx val="4"/>
          <c:order val="4"/>
          <c:tx>
            <c:v>2015</c:v>
          </c:tx>
          <c:spPr>
            <a:solidFill>
              <a:schemeClr val="accent5"/>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corretta'!$DQ$4:$DQ$52</c15:sqref>
                  </c15:fullRef>
                </c:ext>
              </c:extLst>
              <c:f>('Analisi dati, formula corretta'!$DQ$4,'Analisi dati, formula corretta'!$DQ$7,'Analisi dati, formula corretta'!$DQ$9,'Analisi dati, formula corretta'!$DQ$11,'Analisi dati, formula corretta'!$DQ$13:$DQ$16,'Analisi dati, formula corretta'!$DQ$19:$DQ$21,'Analisi dati, formula corretta'!$DQ$23:$DQ$24,'Analisi dati, formula corretta'!$DQ$29:$DQ$30,'Analisi dati, formula corretta'!$DQ$32,'Analisi dati, formula corretta'!$DQ$34,'Analisi dati, formula corretta'!$DQ$38:$DQ$39,'Analisi dati, formula corretta'!$DQ$41:$DQ$42,'Analisi dati, formula corretta'!$DQ$46,'Analisi dati, formula corretta'!$DQ$48,'Analisi dati, formula corretta'!$DQ$51)</c:f>
              <c:numCache>
                <c:formatCode>#,##0.00000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4-3359-4D9C-9E73-DD86950E159B}"/>
            </c:ext>
          </c:extLst>
        </c:ser>
        <c:ser>
          <c:idx val="5"/>
          <c:order val="5"/>
          <c:tx>
            <c:v>2016</c:v>
          </c:tx>
          <c:spPr>
            <a:solidFill>
              <a:schemeClr val="accent6"/>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corretta'!$DR$4:$DR$52</c15:sqref>
                  </c15:fullRef>
                </c:ext>
              </c:extLst>
              <c:f>('Analisi dati, formula corretta'!$DR$4,'Analisi dati, formula corretta'!$DR$7,'Analisi dati, formula corretta'!$DR$9,'Analisi dati, formula corretta'!$DR$11,'Analisi dati, formula corretta'!$DR$13:$DR$16,'Analisi dati, formula corretta'!$DR$19:$DR$21,'Analisi dati, formula corretta'!$DR$23:$DR$24,'Analisi dati, formula corretta'!$DR$29:$DR$30,'Analisi dati, formula corretta'!$DR$32,'Analisi dati, formula corretta'!$DR$34,'Analisi dati, formula corretta'!$DR$38:$DR$39,'Analisi dati, formula corretta'!$DR$41:$DR$42,'Analisi dati, formula corretta'!$DR$46,'Analisi dati, formula corretta'!$DR$48,'Analisi dati, formula corretta'!$DR$51)</c:f>
              <c:numCache>
                <c:formatCode>#,##0.00000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5-3359-4D9C-9E73-DD86950E159B}"/>
            </c:ext>
          </c:extLst>
        </c:ser>
        <c:ser>
          <c:idx val="6"/>
          <c:order val="6"/>
          <c:tx>
            <c:v>2017</c:v>
          </c:tx>
          <c:spPr>
            <a:solidFill>
              <a:schemeClr val="accent1">
                <a:lumMod val="60000"/>
              </a:schemeClr>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corretta'!$DS$4:$DS$52</c15:sqref>
                  </c15:fullRef>
                </c:ext>
              </c:extLst>
              <c:f>('Analisi dati, formula corretta'!$DS$4,'Analisi dati, formula corretta'!$DS$7,'Analisi dati, formula corretta'!$DS$9,'Analisi dati, formula corretta'!$DS$11,'Analisi dati, formula corretta'!$DS$13:$DS$16,'Analisi dati, formula corretta'!$DS$19:$DS$21,'Analisi dati, formula corretta'!$DS$23:$DS$24,'Analisi dati, formula corretta'!$DS$29:$DS$30,'Analisi dati, formula corretta'!$DS$32,'Analisi dati, formula corretta'!$DS$34,'Analisi dati, formula corretta'!$DS$38:$DS$39,'Analisi dati, formula corretta'!$DS$41:$DS$42,'Analisi dati, formula corretta'!$DS$46,'Analisi dati, formula corretta'!$DS$48,'Analisi dati, formula corretta'!$DS$51)</c:f>
              <c:numCache>
                <c:formatCode>#,##0.00000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6-3359-4D9C-9E73-DD86950E159B}"/>
            </c:ext>
          </c:extLst>
        </c:ser>
        <c:ser>
          <c:idx val="7"/>
          <c:order val="7"/>
          <c:tx>
            <c:v>2018</c:v>
          </c:tx>
          <c:spPr>
            <a:solidFill>
              <a:schemeClr val="accent2">
                <a:lumMod val="60000"/>
              </a:schemeClr>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corretta'!$DT$4:$DT$52</c15:sqref>
                  </c15:fullRef>
                </c:ext>
              </c:extLst>
              <c:f>('Analisi dati, formula corretta'!$DT$4,'Analisi dati, formula corretta'!$DT$7,'Analisi dati, formula corretta'!$DT$9,'Analisi dati, formula corretta'!$DT$11,'Analisi dati, formula corretta'!$DT$13:$DT$16,'Analisi dati, formula corretta'!$DT$19:$DT$21,'Analisi dati, formula corretta'!$DT$23:$DT$24,'Analisi dati, formula corretta'!$DT$29:$DT$30,'Analisi dati, formula corretta'!$DT$32,'Analisi dati, formula corretta'!$DT$34,'Analisi dati, formula corretta'!$DT$38:$DT$39,'Analisi dati, formula corretta'!$DT$41:$DT$42,'Analisi dati, formula corretta'!$DT$46,'Analisi dati, formula corretta'!$DT$48,'Analisi dati, formula corretta'!$DT$51)</c:f>
              <c:numCache>
                <c:formatCode>#,##0.00000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7-3359-4D9C-9E73-DD86950E159B}"/>
            </c:ext>
          </c:extLst>
        </c:ser>
        <c:ser>
          <c:idx val="8"/>
          <c:order val="8"/>
          <c:tx>
            <c:v>2019</c:v>
          </c:tx>
          <c:spPr>
            <a:solidFill>
              <a:schemeClr val="accent3">
                <a:lumMod val="60000"/>
              </a:schemeClr>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corretta'!$DU$4:$DU$52</c15:sqref>
                  </c15:fullRef>
                </c:ext>
              </c:extLst>
              <c:f>('Analisi dati, formula corretta'!$DU$4,'Analisi dati, formula corretta'!$DU$7,'Analisi dati, formula corretta'!$DU$9,'Analisi dati, formula corretta'!$DU$11,'Analisi dati, formula corretta'!$DU$13:$DU$16,'Analisi dati, formula corretta'!$DU$19:$DU$21,'Analisi dati, formula corretta'!$DU$23:$DU$24,'Analisi dati, formula corretta'!$DU$29:$DU$30,'Analisi dati, formula corretta'!$DU$32,'Analisi dati, formula corretta'!$DU$34,'Analisi dati, formula corretta'!$DU$38:$DU$39,'Analisi dati, formula corretta'!$DU$41:$DU$42,'Analisi dati, formula corretta'!$DU$46,'Analisi dati, formula corretta'!$DU$48,'Analisi dati, formula corretta'!$DU$51)</c:f>
              <c:numCache>
                <c:formatCode>#,##0.00000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c:ext xmlns:c16="http://schemas.microsoft.com/office/drawing/2014/chart" uri="{C3380CC4-5D6E-409C-BE32-E72D297353CC}">
              <c16:uniqueId val="{00000008-3359-4D9C-9E73-DD86950E159B}"/>
            </c:ext>
          </c:extLst>
        </c:ser>
        <c:dLbls>
          <c:showLegendKey val="0"/>
          <c:showVal val="0"/>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delle centrali di cogenerazione (SOx)</a:t>
            </a:r>
          </a:p>
        </c:rich>
      </c:tx>
      <c:layout>
        <c:manualLayout>
          <c:xMode val="edge"/>
          <c:yMode val="edge"/>
          <c:x val="0.37616897961068652"/>
          <c:y val="1.271654195885882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1"/>
          <c:order val="0"/>
          <c:tx>
            <c:v>2011</c:v>
          </c:tx>
          <c:spPr>
            <a:solidFill>
              <a:schemeClr val="accent2"/>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corretta'!$DM$4:$DM$52</c15:sqref>
                  </c15:fullRef>
                </c:ext>
              </c:extLst>
              <c:f>('Analisi dati, formula corretta'!$DM$5,'Analisi dati, formula corretta'!$DM$8,'Analisi dati, formula corretta'!$DM$22,'Analisi dati, formula corretta'!$DM$25:$DM$28,'Analisi dati, formula corretta'!$DM$31,'Analisi dati, formula corretta'!$DM$33,'Analisi dati, formula corretta'!$DM$35,'Analisi dati, formula corretta'!$DM$37,'Analisi dati, formula corretta'!$DM$40,'Analisi dati, formula corretta'!$DM$43:$DM$44,'Analisi dati, formula corretta'!$DM$47,'Analisi dati, formula corretta'!$DM$49:$DM$50,'Analisi dati, formula corretta'!$DM$52)</c:f>
              <c:numCache>
                <c:formatCode>#,##0.00000</c:formatCode>
                <c:ptCount val="18"/>
                <c:pt idx="0">
                  <c:v>0</c:v>
                </c:pt>
                <c:pt idx="1">
                  <c:v>0.32914923291492332</c:v>
                </c:pt>
                <c:pt idx="2">
                  <c:v>0</c:v>
                </c:pt>
                <c:pt idx="3">
                  <c:v>0</c:v>
                </c:pt>
                <c:pt idx="4">
                  <c:v>0</c:v>
                </c:pt>
                <c:pt idx="5">
                  <c:v>0</c:v>
                </c:pt>
                <c:pt idx="6">
                  <c:v>0</c:v>
                </c:pt>
                <c:pt idx="7">
                  <c:v>0</c:v>
                </c:pt>
                <c:pt idx="8">
                  <c:v>0</c:v>
                </c:pt>
                <c:pt idx="9">
                  <c:v>2.493683350053877E-3</c:v>
                </c:pt>
                <c:pt idx="10">
                  <c:v>0</c:v>
                </c:pt>
                <c:pt idx="11">
                  <c:v>0</c:v>
                </c:pt>
                <c:pt idx="12">
                  <c:v>0</c:v>
                </c:pt>
                <c:pt idx="13">
                  <c:v>0</c:v>
                </c:pt>
                <c:pt idx="14">
                  <c:v>0.12156106907985337</c:v>
                </c:pt>
                <c:pt idx="15">
                  <c:v>0</c:v>
                </c:pt>
                <c:pt idx="16">
                  <c:v>0</c:v>
                </c:pt>
                <c:pt idx="17">
                  <c:v>0</c:v>
                </c:pt>
              </c:numCache>
            </c:numRef>
          </c:val>
          <c:extLst>
            <c:ext xmlns:c16="http://schemas.microsoft.com/office/drawing/2014/chart" uri="{C3380CC4-5D6E-409C-BE32-E72D297353CC}">
              <c16:uniqueId val="{00000000-257D-4FE5-B035-9AEF517EFD57}"/>
            </c:ext>
          </c:extLst>
        </c:ser>
        <c:ser>
          <c:idx val="0"/>
          <c:order val="1"/>
          <c:tx>
            <c:v>2012</c:v>
          </c:tx>
          <c:spPr>
            <a:solidFill>
              <a:schemeClr val="accent1"/>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corretta'!$DN$4:$DN$52</c15:sqref>
                  </c15:fullRef>
                </c:ext>
              </c:extLst>
              <c:f>('Analisi dati, formula corretta'!$DN$5,'Analisi dati, formula corretta'!$DN$8,'Analisi dati, formula corretta'!$DN$22,'Analisi dati, formula corretta'!$DN$25:$DN$28,'Analisi dati, formula corretta'!$DN$31,'Analisi dati, formula corretta'!$DN$33,'Analisi dati, formula corretta'!$DN$35,'Analisi dati, formula corretta'!$DN$37,'Analisi dati, formula corretta'!$DN$40,'Analisi dati, formula corretta'!$DN$43:$DN$44,'Analisi dati, formula corretta'!$DN$47,'Analisi dati, formula corretta'!$DN$49:$DN$50,'Analisi dati, formula corretta'!$DN$52)</c:f>
              <c:numCache>
                <c:formatCode>#,##0.00000</c:formatCode>
                <c:ptCount val="18"/>
                <c:pt idx="0">
                  <c:v>0</c:v>
                </c:pt>
                <c:pt idx="1">
                  <c:v>0.265474552957359</c:v>
                </c:pt>
                <c:pt idx="2">
                  <c:v>0</c:v>
                </c:pt>
                <c:pt idx="3">
                  <c:v>0</c:v>
                </c:pt>
                <c:pt idx="4">
                  <c:v>0</c:v>
                </c:pt>
                <c:pt idx="5">
                  <c:v>0</c:v>
                </c:pt>
                <c:pt idx="6">
                  <c:v>0</c:v>
                </c:pt>
                <c:pt idx="7">
                  <c:v>0</c:v>
                </c:pt>
                <c:pt idx="8">
                  <c:v>0</c:v>
                </c:pt>
                <c:pt idx="9">
                  <c:v>3.436932538849702E-3</c:v>
                </c:pt>
                <c:pt idx="10">
                  <c:v>0</c:v>
                </c:pt>
                <c:pt idx="11">
                  <c:v>0</c:v>
                </c:pt>
                <c:pt idx="12">
                  <c:v>0</c:v>
                </c:pt>
                <c:pt idx="13">
                  <c:v>0</c:v>
                </c:pt>
                <c:pt idx="14">
                  <c:v>8.6662001955089468E-2</c:v>
                </c:pt>
                <c:pt idx="15">
                  <c:v>0</c:v>
                </c:pt>
                <c:pt idx="16">
                  <c:v>0</c:v>
                </c:pt>
                <c:pt idx="17">
                  <c:v>0</c:v>
                </c:pt>
              </c:numCache>
            </c:numRef>
          </c:val>
          <c:extLst>
            <c:ext xmlns:c16="http://schemas.microsoft.com/office/drawing/2014/chart" uri="{C3380CC4-5D6E-409C-BE32-E72D297353CC}">
              <c16:uniqueId val="{00000001-257D-4FE5-B035-9AEF517EFD57}"/>
            </c:ext>
          </c:extLst>
        </c:ser>
        <c:ser>
          <c:idx val="2"/>
          <c:order val="2"/>
          <c:tx>
            <c:v>2013</c:v>
          </c:tx>
          <c:spPr>
            <a:solidFill>
              <a:schemeClr val="accent3"/>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corretta'!$DO$4:$DO$52</c15:sqref>
                  </c15:fullRef>
                </c:ext>
              </c:extLst>
              <c:f>('Analisi dati, formula corretta'!$DO$5,'Analisi dati, formula corretta'!$DO$8,'Analisi dati, formula corretta'!$DO$22,'Analisi dati, formula corretta'!$DO$25:$DO$28,'Analisi dati, formula corretta'!$DO$31,'Analisi dati, formula corretta'!$DO$33,'Analisi dati, formula corretta'!$DO$35,'Analisi dati, formula corretta'!$DO$37,'Analisi dati, formula corretta'!$DO$40,'Analisi dati, formula corretta'!$DO$43:$DO$44,'Analisi dati, formula corretta'!$DO$47,'Analisi dati, formula corretta'!$DO$49:$DO$50,'Analisi dati, formula corretta'!$DO$52)</c:f>
              <c:numCache>
                <c:formatCode>#,##0.00000</c:formatCode>
                <c:ptCount val="18"/>
                <c:pt idx="0">
                  <c:v>0</c:v>
                </c:pt>
                <c:pt idx="1">
                  <c:v>0.18994413407821228</c:v>
                </c:pt>
                <c:pt idx="2">
                  <c:v>0</c:v>
                </c:pt>
                <c:pt idx="3">
                  <c:v>0</c:v>
                </c:pt>
                <c:pt idx="4">
                  <c:v>0</c:v>
                </c:pt>
                <c:pt idx="5">
                  <c:v>0</c:v>
                </c:pt>
                <c:pt idx="6">
                  <c:v>0</c:v>
                </c:pt>
                <c:pt idx="7">
                  <c:v>0</c:v>
                </c:pt>
                <c:pt idx="8">
                  <c:v>0</c:v>
                </c:pt>
                <c:pt idx="9">
                  <c:v>2.7371036101807031E-3</c:v>
                </c:pt>
                <c:pt idx="10">
                  <c:v>0</c:v>
                </c:pt>
                <c:pt idx="11">
                  <c:v>0</c:v>
                </c:pt>
                <c:pt idx="12">
                  <c:v>0</c:v>
                </c:pt>
                <c:pt idx="13">
                  <c:v>0</c:v>
                </c:pt>
                <c:pt idx="14">
                  <c:v>5.2597354203390297E-2</c:v>
                </c:pt>
                <c:pt idx="15">
                  <c:v>0</c:v>
                </c:pt>
                <c:pt idx="16">
                  <c:v>0</c:v>
                </c:pt>
                <c:pt idx="17">
                  <c:v>0</c:v>
                </c:pt>
              </c:numCache>
            </c:numRef>
          </c:val>
          <c:extLst>
            <c:ext xmlns:c16="http://schemas.microsoft.com/office/drawing/2014/chart" uri="{C3380CC4-5D6E-409C-BE32-E72D297353CC}">
              <c16:uniqueId val="{00000002-257D-4FE5-B035-9AEF517EFD57}"/>
            </c:ext>
          </c:extLst>
        </c:ser>
        <c:ser>
          <c:idx val="3"/>
          <c:order val="3"/>
          <c:tx>
            <c:v>2014</c:v>
          </c:tx>
          <c:spPr>
            <a:solidFill>
              <a:schemeClr val="accent4"/>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corretta'!$DP$4:$DP$52</c15:sqref>
                  </c15:fullRef>
                </c:ext>
              </c:extLst>
              <c:f>('Analisi dati, formula corretta'!$DP$5,'Analisi dati, formula corretta'!$DP$8,'Analisi dati, formula corretta'!$DP$22,'Analisi dati, formula corretta'!$DP$25:$DP$28,'Analisi dati, formula corretta'!$DP$31,'Analisi dati, formula corretta'!$DP$33,'Analisi dati, formula corretta'!$DP$35,'Analisi dati, formula corretta'!$DP$37,'Analisi dati, formula corretta'!$DP$40,'Analisi dati, formula corretta'!$DP$43:$DP$44,'Analisi dati, formula corretta'!$DP$47,'Analisi dati, formula corretta'!$DP$49:$DP$50,'Analisi dati, formula corretta'!$DP$52)</c:f>
              <c:numCache>
                <c:formatCode>#,##0.00000</c:formatCode>
                <c:ptCount val="18"/>
                <c:pt idx="0">
                  <c:v>0</c:v>
                </c:pt>
                <c:pt idx="1">
                  <c:v>0.2414448669201521</c:v>
                </c:pt>
                <c:pt idx="2">
                  <c:v>0</c:v>
                </c:pt>
                <c:pt idx="3">
                  <c:v>0</c:v>
                </c:pt>
                <c:pt idx="4">
                  <c:v>0</c:v>
                </c:pt>
                <c:pt idx="5">
                  <c:v>0</c:v>
                </c:pt>
                <c:pt idx="6">
                  <c:v>0</c:v>
                </c:pt>
                <c:pt idx="7">
                  <c:v>0</c:v>
                </c:pt>
                <c:pt idx="8">
                  <c:v>0</c:v>
                </c:pt>
                <c:pt idx="9">
                  <c:v>7.4783554746408552E-3</c:v>
                </c:pt>
                <c:pt idx="10">
                  <c:v>0</c:v>
                </c:pt>
                <c:pt idx="11">
                  <c:v>0</c:v>
                </c:pt>
                <c:pt idx="12">
                  <c:v>0</c:v>
                </c:pt>
                <c:pt idx="13">
                  <c:v>0</c:v>
                </c:pt>
                <c:pt idx="14">
                  <c:v>1.502583502330399E-2</c:v>
                </c:pt>
                <c:pt idx="15">
                  <c:v>0</c:v>
                </c:pt>
                <c:pt idx="16">
                  <c:v>0</c:v>
                </c:pt>
                <c:pt idx="17">
                  <c:v>0</c:v>
                </c:pt>
              </c:numCache>
            </c:numRef>
          </c:val>
          <c:extLst>
            <c:ext xmlns:c16="http://schemas.microsoft.com/office/drawing/2014/chart" uri="{C3380CC4-5D6E-409C-BE32-E72D297353CC}">
              <c16:uniqueId val="{00000003-257D-4FE5-B035-9AEF517EFD57}"/>
            </c:ext>
          </c:extLst>
        </c:ser>
        <c:ser>
          <c:idx val="4"/>
          <c:order val="4"/>
          <c:tx>
            <c:v>2015</c:v>
          </c:tx>
          <c:spPr>
            <a:solidFill>
              <a:schemeClr val="accent5"/>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corretta'!$DQ$4:$DQ$52</c15:sqref>
                  </c15:fullRef>
                </c:ext>
              </c:extLst>
              <c:f>('Analisi dati, formula corretta'!$DQ$5,'Analisi dati, formula corretta'!$DQ$8,'Analisi dati, formula corretta'!$DQ$22,'Analisi dati, formula corretta'!$DQ$25:$DQ$28,'Analisi dati, formula corretta'!$DQ$31,'Analisi dati, formula corretta'!$DQ$33,'Analisi dati, formula corretta'!$DQ$35,'Analisi dati, formula corretta'!$DQ$37,'Analisi dati, formula corretta'!$DQ$40,'Analisi dati, formula corretta'!$DQ$43:$DQ$44,'Analisi dati, formula corretta'!$DQ$47,'Analisi dati, formula corretta'!$DQ$49:$DQ$50,'Analisi dati, formula corretta'!$DQ$52)</c:f>
              <c:numCache>
                <c:formatCode>#,##0.00000</c:formatCode>
                <c:ptCount val="18"/>
                <c:pt idx="0">
                  <c:v>0</c:v>
                </c:pt>
                <c:pt idx="1">
                  <c:v>0.23578595317725753</c:v>
                </c:pt>
                <c:pt idx="2">
                  <c:v>0</c:v>
                </c:pt>
                <c:pt idx="3">
                  <c:v>0</c:v>
                </c:pt>
                <c:pt idx="4">
                  <c:v>0</c:v>
                </c:pt>
                <c:pt idx="5">
                  <c:v>0</c:v>
                </c:pt>
                <c:pt idx="6">
                  <c:v>0</c:v>
                </c:pt>
                <c:pt idx="7">
                  <c:v>0</c:v>
                </c:pt>
                <c:pt idx="8">
                  <c:v>0</c:v>
                </c:pt>
                <c:pt idx="9">
                  <c:v>5.9886635575633982E-3</c:v>
                </c:pt>
                <c:pt idx="10">
                  <c:v>0</c:v>
                </c:pt>
                <c:pt idx="11">
                  <c:v>0.12430059631437622</c:v>
                </c:pt>
                <c:pt idx="12">
                  <c:v>0</c:v>
                </c:pt>
                <c:pt idx="13">
                  <c:v>0</c:v>
                </c:pt>
                <c:pt idx="14">
                  <c:v>1.5936872010324052E-2</c:v>
                </c:pt>
                <c:pt idx="15">
                  <c:v>0</c:v>
                </c:pt>
                <c:pt idx="16">
                  <c:v>0</c:v>
                </c:pt>
                <c:pt idx="17">
                  <c:v>0</c:v>
                </c:pt>
              </c:numCache>
            </c:numRef>
          </c:val>
          <c:extLst>
            <c:ext xmlns:c16="http://schemas.microsoft.com/office/drawing/2014/chart" uri="{C3380CC4-5D6E-409C-BE32-E72D297353CC}">
              <c16:uniqueId val="{00000004-257D-4FE5-B035-9AEF517EFD57}"/>
            </c:ext>
          </c:extLst>
        </c:ser>
        <c:ser>
          <c:idx val="5"/>
          <c:order val="5"/>
          <c:tx>
            <c:v>2016</c:v>
          </c:tx>
          <c:spPr>
            <a:solidFill>
              <a:schemeClr val="accent6"/>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corretta'!$DR$4:$DR$52</c15:sqref>
                  </c15:fullRef>
                </c:ext>
              </c:extLst>
              <c:f>('Analisi dati, formula corretta'!$DR$5,'Analisi dati, formula corretta'!$DR$8,'Analisi dati, formula corretta'!$DR$22,'Analisi dati, formula corretta'!$DR$25:$DR$28,'Analisi dati, formula corretta'!$DR$31,'Analisi dati, formula corretta'!$DR$33,'Analisi dati, formula corretta'!$DR$35,'Analisi dati, formula corretta'!$DR$37,'Analisi dati, formula corretta'!$DR$40,'Analisi dati, formula corretta'!$DR$43:$DR$44,'Analisi dati, formula corretta'!$DR$47,'Analisi dati, formula corretta'!$DR$49:$DR$50,'Analisi dati, formula corretta'!$DR$52)</c:f>
              <c:numCache>
                <c:formatCode>#,##0.00000</c:formatCode>
                <c:ptCount val="18"/>
                <c:pt idx="0">
                  <c:v>0</c:v>
                </c:pt>
                <c:pt idx="1">
                  <c:v>0.24861995753715499</c:v>
                </c:pt>
                <c:pt idx="2">
                  <c:v>0</c:v>
                </c:pt>
                <c:pt idx="3">
                  <c:v>0</c:v>
                </c:pt>
                <c:pt idx="4">
                  <c:v>0</c:v>
                </c:pt>
                <c:pt idx="5">
                  <c:v>0</c:v>
                </c:pt>
                <c:pt idx="6">
                  <c:v>0</c:v>
                </c:pt>
                <c:pt idx="7">
                  <c:v>0</c:v>
                </c:pt>
                <c:pt idx="8">
                  <c:v>0</c:v>
                </c:pt>
                <c:pt idx="9">
                  <c:v>5.4251136022683078E-3</c:v>
                </c:pt>
                <c:pt idx="10">
                  <c:v>0</c:v>
                </c:pt>
                <c:pt idx="11">
                  <c:v>0.14383429823722441</c:v>
                </c:pt>
                <c:pt idx="12">
                  <c:v>0</c:v>
                </c:pt>
                <c:pt idx="13">
                  <c:v>0</c:v>
                </c:pt>
                <c:pt idx="14">
                  <c:v>1.6156978225936747E-2</c:v>
                </c:pt>
                <c:pt idx="15">
                  <c:v>0</c:v>
                </c:pt>
                <c:pt idx="16">
                  <c:v>0</c:v>
                </c:pt>
                <c:pt idx="17">
                  <c:v>0</c:v>
                </c:pt>
              </c:numCache>
            </c:numRef>
          </c:val>
          <c:extLst>
            <c:ext xmlns:c16="http://schemas.microsoft.com/office/drawing/2014/chart" uri="{C3380CC4-5D6E-409C-BE32-E72D297353CC}">
              <c16:uniqueId val="{00000005-257D-4FE5-B035-9AEF517EFD57}"/>
            </c:ext>
          </c:extLst>
        </c:ser>
        <c:ser>
          <c:idx val="6"/>
          <c:order val="6"/>
          <c:tx>
            <c:v>2017</c:v>
          </c:tx>
          <c:spPr>
            <a:solidFill>
              <a:schemeClr val="accent1">
                <a:lumMod val="60000"/>
              </a:schemeClr>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corretta'!$DS$4:$DS$52</c15:sqref>
                  </c15:fullRef>
                </c:ext>
              </c:extLst>
              <c:f>('Analisi dati, formula corretta'!$DS$5,'Analisi dati, formula corretta'!$DS$8,'Analisi dati, formula corretta'!$DS$22,'Analisi dati, formula corretta'!$DS$25:$DS$28,'Analisi dati, formula corretta'!$DS$31,'Analisi dati, formula corretta'!$DS$33,'Analisi dati, formula corretta'!$DS$35,'Analisi dati, formula corretta'!$DS$37,'Analisi dati, formula corretta'!$DS$40,'Analisi dati, formula corretta'!$DS$43:$DS$44,'Analisi dati, formula corretta'!$DS$47,'Analisi dati, formula corretta'!$DS$49:$DS$50,'Analisi dati, formula corretta'!$DS$52)</c:f>
              <c:numCache>
                <c:formatCode>#,##0.00000</c:formatCode>
                <c:ptCount val="18"/>
                <c:pt idx="0">
                  <c:v>0</c:v>
                </c:pt>
                <c:pt idx="1">
                  <c:v>0.21</c:v>
                </c:pt>
                <c:pt idx="2">
                  <c:v>0</c:v>
                </c:pt>
                <c:pt idx="3">
                  <c:v>0</c:v>
                </c:pt>
                <c:pt idx="4">
                  <c:v>0</c:v>
                </c:pt>
                <c:pt idx="5">
                  <c:v>0</c:v>
                </c:pt>
                <c:pt idx="6">
                  <c:v>0</c:v>
                </c:pt>
                <c:pt idx="7">
                  <c:v>0</c:v>
                </c:pt>
                <c:pt idx="8">
                  <c:v>0</c:v>
                </c:pt>
                <c:pt idx="9">
                  <c:v>3.2282337794518699E-3</c:v>
                </c:pt>
                <c:pt idx="10">
                  <c:v>0</c:v>
                </c:pt>
                <c:pt idx="11">
                  <c:v>0.17238755997255387</c:v>
                </c:pt>
                <c:pt idx="12">
                  <c:v>0</c:v>
                </c:pt>
                <c:pt idx="13">
                  <c:v>0</c:v>
                </c:pt>
                <c:pt idx="14">
                  <c:v>1.5773902978362911E-2</c:v>
                </c:pt>
                <c:pt idx="15">
                  <c:v>0</c:v>
                </c:pt>
                <c:pt idx="16">
                  <c:v>0</c:v>
                </c:pt>
                <c:pt idx="17">
                  <c:v>0</c:v>
                </c:pt>
              </c:numCache>
            </c:numRef>
          </c:val>
          <c:extLst>
            <c:ext xmlns:c16="http://schemas.microsoft.com/office/drawing/2014/chart" uri="{C3380CC4-5D6E-409C-BE32-E72D297353CC}">
              <c16:uniqueId val="{00000006-257D-4FE5-B035-9AEF517EFD57}"/>
            </c:ext>
          </c:extLst>
        </c:ser>
        <c:ser>
          <c:idx val="7"/>
          <c:order val="7"/>
          <c:tx>
            <c:v>2018</c:v>
          </c:tx>
          <c:spPr>
            <a:solidFill>
              <a:schemeClr val="accent2">
                <a:lumMod val="60000"/>
              </a:schemeClr>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corretta'!$DT$4:$DT$52</c15:sqref>
                  </c15:fullRef>
                </c:ext>
              </c:extLst>
              <c:f>('Analisi dati, formula corretta'!$DT$5,'Analisi dati, formula corretta'!$DT$8,'Analisi dati, formula corretta'!$DT$22,'Analisi dati, formula corretta'!$DT$25:$DT$28,'Analisi dati, formula corretta'!$DT$31,'Analisi dati, formula corretta'!$DT$33,'Analisi dati, formula corretta'!$DT$35,'Analisi dati, formula corretta'!$DT$37,'Analisi dati, formula corretta'!$DT$40,'Analisi dati, formula corretta'!$DT$43:$DT$44,'Analisi dati, formula corretta'!$DT$47,'Analisi dati, formula corretta'!$DT$49:$DT$50,'Analisi dati, formula corretta'!$DT$52)</c:f>
              <c:numCache>
                <c:formatCode>#,##0.00000</c:formatCode>
                <c:ptCount val="18"/>
                <c:pt idx="0">
                  <c:v>0</c:v>
                </c:pt>
                <c:pt idx="1">
                  <c:v>0.23</c:v>
                </c:pt>
                <c:pt idx="2">
                  <c:v>0</c:v>
                </c:pt>
                <c:pt idx="3">
                  <c:v>0</c:v>
                </c:pt>
                <c:pt idx="4">
                  <c:v>0</c:v>
                </c:pt>
                <c:pt idx="5">
                  <c:v>0</c:v>
                </c:pt>
                <c:pt idx="6">
                  <c:v>0</c:v>
                </c:pt>
                <c:pt idx="7">
                  <c:v>0</c:v>
                </c:pt>
                <c:pt idx="8">
                  <c:v>0</c:v>
                </c:pt>
                <c:pt idx="9">
                  <c:v>4.2137333855966925E-3</c:v>
                </c:pt>
                <c:pt idx="10">
                  <c:v>0</c:v>
                </c:pt>
                <c:pt idx="11">
                  <c:v>0.11692196243005595</c:v>
                </c:pt>
                <c:pt idx="12">
                  <c:v>0</c:v>
                </c:pt>
                <c:pt idx="13">
                  <c:v>0</c:v>
                </c:pt>
                <c:pt idx="14">
                  <c:v>1.338536994905243E-2</c:v>
                </c:pt>
                <c:pt idx="15">
                  <c:v>0</c:v>
                </c:pt>
                <c:pt idx="16">
                  <c:v>0</c:v>
                </c:pt>
                <c:pt idx="17">
                  <c:v>0</c:v>
                </c:pt>
              </c:numCache>
            </c:numRef>
          </c:val>
          <c:extLst>
            <c:ext xmlns:c16="http://schemas.microsoft.com/office/drawing/2014/chart" uri="{C3380CC4-5D6E-409C-BE32-E72D297353CC}">
              <c16:uniqueId val="{00000007-257D-4FE5-B035-9AEF517EFD57}"/>
            </c:ext>
          </c:extLst>
        </c:ser>
        <c:ser>
          <c:idx val="8"/>
          <c:order val="8"/>
          <c:tx>
            <c:v>2019</c:v>
          </c:tx>
          <c:spPr>
            <a:solidFill>
              <a:schemeClr val="accent3">
                <a:lumMod val="60000"/>
              </a:schemeClr>
            </a:solidFill>
            <a:ln>
              <a:noFill/>
            </a:ln>
            <a:effectLst/>
          </c:spPr>
          <c:invertIfNegative val="0"/>
          <c:cat>
            <c:strLit>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corretta'!$DU$4:$DU$52</c15:sqref>
                  </c15:fullRef>
                </c:ext>
              </c:extLst>
              <c:f>('Analisi dati, formula corretta'!$DU$5,'Analisi dati, formula corretta'!$DU$8,'Analisi dati, formula corretta'!$DU$22,'Analisi dati, formula corretta'!$DU$25:$DU$28,'Analisi dati, formula corretta'!$DU$31,'Analisi dati, formula corretta'!$DU$33,'Analisi dati, formula corretta'!$DU$35,'Analisi dati, formula corretta'!$DU$37,'Analisi dati, formula corretta'!$DU$40,'Analisi dati, formula corretta'!$DU$43:$DU$44,'Analisi dati, formula corretta'!$DU$47,'Analisi dati, formula corretta'!$DU$49:$DU$50,'Analisi dati, formula corretta'!$DU$52)</c:f>
              <c:numCache>
                <c:formatCode>#,##0.00000</c:formatCode>
                <c:ptCount val="18"/>
                <c:pt idx="0">
                  <c:v>0</c:v>
                </c:pt>
                <c:pt idx="1">
                  <c:v>0.23</c:v>
                </c:pt>
                <c:pt idx="2">
                  <c:v>0</c:v>
                </c:pt>
                <c:pt idx="3">
                  <c:v>0</c:v>
                </c:pt>
                <c:pt idx="4">
                  <c:v>0</c:v>
                </c:pt>
                <c:pt idx="5">
                  <c:v>0</c:v>
                </c:pt>
                <c:pt idx="6">
                  <c:v>0</c:v>
                </c:pt>
                <c:pt idx="7">
                  <c:v>0</c:v>
                </c:pt>
                <c:pt idx="8">
                  <c:v>0</c:v>
                </c:pt>
                <c:pt idx="9">
                  <c:v>3.3691497607783389E-3</c:v>
                </c:pt>
                <c:pt idx="10">
                  <c:v>0</c:v>
                </c:pt>
                <c:pt idx="11">
                  <c:v>0.10178776333482743</c:v>
                </c:pt>
                <c:pt idx="12">
                  <c:v>0</c:v>
                </c:pt>
                <c:pt idx="13">
                  <c:v>0</c:v>
                </c:pt>
                <c:pt idx="14">
                  <c:v>1.4523119333114801E-2</c:v>
                </c:pt>
                <c:pt idx="15">
                  <c:v>0</c:v>
                </c:pt>
                <c:pt idx="16">
                  <c:v>0</c:v>
                </c:pt>
                <c:pt idx="17">
                  <c:v>0</c:v>
                </c:pt>
              </c:numCache>
            </c:numRef>
          </c:val>
          <c:extLst>
            <c:ext xmlns:c16="http://schemas.microsoft.com/office/drawing/2014/chart" uri="{C3380CC4-5D6E-409C-BE32-E72D297353CC}">
              <c16:uniqueId val="{00000008-257D-4FE5-B035-9AEF517EFD57}"/>
            </c:ext>
          </c:extLst>
        </c:ser>
        <c:dLbls>
          <c:showLegendKey val="0"/>
          <c:showVal val="0"/>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 generali delle emissioni specifiche delle centrali a ciclo combinato (SOx</a:t>
            </a:r>
            <a:r>
              <a:rPr lang="it-IT"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pieChart>
        <c:varyColors val="1"/>
        <c:ser>
          <c:idx val="0"/>
          <c:order val="0"/>
          <c:spPr>
            <a:solidFill>
              <a:srgbClr val="92D050"/>
            </a:solidFill>
          </c:spPr>
          <c:dPt>
            <c:idx val="0"/>
            <c:bubble3D val="0"/>
            <c:spPr>
              <a:solidFill>
                <a:srgbClr val="92D050"/>
              </a:solidFill>
              <a:ln>
                <a:noFill/>
              </a:ln>
              <a:effectLst/>
            </c:spPr>
            <c:extLst>
              <c:ext xmlns:c16="http://schemas.microsoft.com/office/drawing/2014/chart" uri="{C3380CC4-5D6E-409C-BE32-E72D297353CC}">
                <c16:uniqueId val="{00000003-6A3F-44A3-A61F-67D10A215CB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'Analisi dati, formula corretta'!$BH$54:$BH$55</c15:sqref>
                  </c15:fullRef>
                </c:ext>
              </c:extLst>
              <c:f>'Analisi dati, formula corretta'!$BH$55</c:f>
              <c:strCache>
                <c:ptCount val="1"/>
                <c:pt idx="0">
                  <c:v>Diminuzione emissioni specifiche</c:v>
                </c:pt>
              </c:strCache>
            </c:strRef>
          </c:cat>
          <c:val>
            <c:numRef>
              <c:extLst>
                <c:ext xmlns:c15="http://schemas.microsoft.com/office/drawing/2012/chart" uri="{02D57815-91ED-43cb-92C2-25804820EDAC}">
                  <c15:fullRef>
                    <c15:sqref>'Analisi dati, formula corretta'!$FP$175:$FP$176</c15:sqref>
                  </c15:fullRef>
                </c:ext>
              </c:extLst>
              <c:f>'Analisi dati, formula corretta'!$FP$176</c:f>
              <c:numCache>
                <c:formatCode>General</c:formatCode>
                <c:ptCount val="1"/>
                <c:pt idx="0">
                  <c:v>3</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04-6A3F-44A3-A61F-67D10A215CBD}"/>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specifiche complessive in % di variazione (CO</a:t>
            </a:r>
            <a:r>
              <a:rPr lang="it-IT" baseline="-25000"/>
              <a:t>2</a:t>
            </a:r>
            <a:r>
              <a:rPr lang="it-IT" baseline="0"/>
              <a:t>)</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3"/>
          <c:order val="3"/>
          <c:tx>
            <c:v>Variazioni</c:v>
          </c:tx>
          <c:spPr>
            <a:solidFill>
              <a:schemeClr val="accent4"/>
            </a:solidFill>
            <a:ln>
              <a:noFill/>
            </a:ln>
            <a:effectLst/>
          </c:spPr>
          <c:invertIfNegative val="0"/>
          <c:dLbls>
            <c:dLbl>
              <c:idx val="29"/>
              <c:layout>
                <c:manualLayout>
                  <c:x val="-8.4406636959248571E-17"/>
                  <c:y val="-2.26401950539881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912-4CDC-A80B-E927EC509AB2}"/>
                </c:ext>
              </c:extLst>
            </c:dLbl>
            <c:dLbl>
              <c:idx val="48"/>
              <c:layout>
                <c:manualLayout>
                  <c:x val="0"/>
                  <c:y val="-1.54162384378211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912-4CDC-A80B-E927EC509A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f>'Analisi dati, formula corretta'!$BF$4:$BF$52</c:f>
              <c:numCache>
                <c:formatCode>0.00%</c:formatCode>
                <c:ptCount val="49"/>
                <c:pt idx="0">
                  <c:v>7.952670623145397E-2</c:v>
                </c:pt>
                <c:pt idx="1">
                  <c:v>2.3153212719011496E-2</c:v>
                </c:pt>
                <c:pt idx="2">
                  <c:v>0.22488396430529334</c:v>
                </c:pt>
                <c:pt idx="3">
                  <c:v>-6.5929576253345834E-2</c:v>
                </c:pt>
                <c:pt idx="4">
                  <c:v>0.15928540012985115</c:v>
                </c:pt>
                <c:pt idx="5">
                  <c:v>-2.7773428046749316E-2</c:v>
                </c:pt>
                <c:pt idx="6">
                  <c:v>-4.9980198074867088E-2</c:v>
                </c:pt>
                <c:pt idx="7">
                  <c:v>-9.0365373083468592E-3</c:v>
                </c:pt>
                <c:pt idx="8">
                  <c:v>0.22215847663183719</c:v>
                </c:pt>
                <c:pt idx="9">
                  <c:v>-1.0411986455506339E-2</c:v>
                </c:pt>
                <c:pt idx="10">
                  <c:v>-9.7977595606113521E-3</c:v>
                </c:pt>
                <c:pt idx="11">
                  <c:v>-5.6197115957573596E-2</c:v>
                </c:pt>
                <c:pt idx="12">
                  <c:v>-2.1345452367215523E-2</c:v>
                </c:pt>
                <c:pt idx="13">
                  <c:v>8.5862707062508425E-2</c:v>
                </c:pt>
                <c:pt idx="14">
                  <c:v>3.6472683264123784E-2</c:v>
                </c:pt>
                <c:pt idx="15">
                  <c:v>2.3517552132384711E-2</c:v>
                </c:pt>
                <c:pt idx="16">
                  <c:v>-1.9238486954054057E-4</c:v>
                </c:pt>
                <c:pt idx="17">
                  <c:v>-3.348771627277769E-2</c:v>
                </c:pt>
                <c:pt idx="18">
                  <c:v>4.7780397634387795E-2</c:v>
                </c:pt>
                <c:pt idx="19">
                  <c:v>9.249197704767953E-3</c:v>
                </c:pt>
                <c:pt idx="20">
                  <c:v>-6.207309620907564E-2</c:v>
                </c:pt>
                <c:pt idx="21">
                  <c:v>-2.5215167485103773E-2</c:v>
                </c:pt>
                <c:pt idx="22">
                  <c:v>-0.2049835752972331</c:v>
                </c:pt>
                <c:pt idx="23">
                  <c:v>-0.13442147727116716</c:v>
                </c:pt>
                <c:pt idx="24">
                  <c:v>-4.2702296806054973E-2</c:v>
                </c:pt>
                <c:pt idx="25">
                  <c:v>3.3225255947681775E-2</c:v>
                </c:pt>
                <c:pt idx="26">
                  <c:v>-1.6285361154426692E-3</c:v>
                </c:pt>
                <c:pt idx="27">
                  <c:v>-5.970541731916168E-2</c:v>
                </c:pt>
                <c:pt idx="28">
                  <c:v>3.5231035520770559E-2</c:v>
                </c:pt>
                <c:pt idx="29">
                  <c:v>-2.0916585047938807E-2</c:v>
                </c:pt>
                <c:pt idx="30">
                  <c:v>2.0380303018567414E-2</c:v>
                </c:pt>
                <c:pt idx="31">
                  <c:v>4.1471244035566013E-2</c:v>
                </c:pt>
                <c:pt idx="32">
                  <c:v>-4.7409825146631501E-3</c:v>
                </c:pt>
                <c:pt idx="33">
                  <c:v>-0.28902484218697477</c:v>
                </c:pt>
                <c:pt idx="34">
                  <c:v>5.0835145850615548E-2</c:v>
                </c:pt>
                <c:pt idx="35">
                  <c:v>1.9631722331907575E-3</c:v>
                </c:pt>
                <c:pt idx="36">
                  <c:v>3.284387888960727E-2</c:v>
                </c:pt>
                <c:pt idx="37">
                  <c:v>4.0416572607886447E-2</c:v>
                </c:pt>
                <c:pt idx="38">
                  <c:v>4.838433204225967E-2</c:v>
                </c:pt>
                <c:pt idx="39">
                  <c:v>-0.51510994785907438</c:v>
                </c:pt>
                <c:pt idx="40">
                  <c:v>-2.2632235245633736E-2</c:v>
                </c:pt>
                <c:pt idx="41">
                  <c:v>0.19177296344762551</c:v>
                </c:pt>
                <c:pt idx="42">
                  <c:v>-1.7070621907351646E-2</c:v>
                </c:pt>
                <c:pt idx="43">
                  <c:v>-0.12160173709504041</c:v>
                </c:pt>
                <c:pt idx="44">
                  <c:v>-5.6948564263981094E-3</c:v>
                </c:pt>
                <c:pt idx="45">
                  <c:v>-8.9498294543860824E-2</c:v>
                </c:pt>
                <c:pt idx="46">
                  <c:v>-4.6981154796510993E-2</c:v>
                </c:pt>
                <c:pt idx="47">
                  <c:v>7.2940459337569319E-3</c:v>
                </c:pt>
                <c:pt idx="48">
                  <c:v>-2.1124926525269649E-2</c:v>
                </c:pt>
              </c:numCache>
            </c:numRef>
          </c:val>
          <c:extLst xmlns:c15="http://schemas.microsoft.com/office/drawing/2012/chart">
            <c:ext xmlns:c16="http://schemas.microsoft.com/office/drawing/2014/chart" uri="{C3380CC4-5D6E-409C-BE32-E72D297353CC}">
              <c16:uniqueId val="{00000002-F81D-4392-8ACC-9F4BD0965893}"/>
            </c:ext>
          </c:extLst>
        </c:ser>
        <c:dLbls>
          <c:showLegendKey val="0"/>
          <c:showVal val="0"/>
          <c:showCatName val="0"/>
          <c:showSerName val="0"/>
          <c:showPercent val="0"/>
          <c:showBubbleSize val="0"/>
        </c:dLbls>
        <c:gapWidth val="219"/>
        <c:overlap val="-27"/>
        <c:axId val="55998191"/>
        <c:axId val="55996943"/>
        <c:extLst>
          <c:ext xmlns:c15="http://schemas.microsoft.com/office/drawing/2012/chart" uri="{02D57815-91ED-43cb-92C2-25804820EDAC}">
            <c15:filteredBarSeries>
              <c15:ser>
                <c:idx val="0"/>
                <c:order val="0"/>
                <c:tx>
                  <c:v>2017</c:v>
                </c:tx>
                <c:spPr>
                  <a:solidFill>
                    <a:schemeClr val="accent1"/>
                  </a:solidFill>
                  <a:ln>
                    <a:noFill/>
                  </a:ln>
                  <a:effectLst/>
                </c:spPr>
                <c:invertIfNegative val="0"/>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c:ext uri="{02D57815-91ED-43cb-92C2-25804820EDAC}">
                        <c15:formulaRef>
                          <c15:sqref>'Analisi dati, formula corretta'!$AZ$4:$AZ$52</c15:sqref>
                        </c15:formulaRef>
                      </c:ext>
                    </c:extLst>
                    <c:numCache>
                      <c:formatCode>#,##0.00</c:formatCode>
                      <c:ptCount val="49"/>
                      <c:pt idx="0">
                        <c:v>368.88</c:v>
                      </c:pt>
                      <c:pt idx="1">
                        <c:v>405.35909752359856</c:v>
                      </c:pt>
                      <c:pt idx="2">
                        <c:v>881.75829941203074</c:v>
                      </c:pt>
                      <c:pt idx="3">
                        <c:v>388.47824696097251</c:v>
                      </c:pt>
                      <c:pt idx="4">
                        <c:v>371</c:v>
                      </c:pt>
                      <c:pt idx="5">
                        <c:v>388.38532110091745</c:v>
                      </c:pt>
                      <c:pt idx="6">
                        <c:v>904.86689132266213</c:v>
                      </c:pt>
                      <c:pt idx="7">
                        <c:v>395.22230272631839</c:v>
                      </c:pt>
                      <c:pt idx="8">
                        <c:v>976.88275862068963</c:v>
                      </c:pt>
                      <c:pt idx="9">
                        <c:v>386.18599926009006</c:v>
                      </c:pt>
                      <c:pt idx="10">
                        <c:v>391.62999138401415</c:v>
                      </c:pt>
                      <c:pt idx="11">
                        <c:v>704.4110766089583</c:v>
                      </c:pt>
                      <c:pt idx="12">
                        <c:v>382.60635433494883</c:v>
                      </c:pt>
                      <c:pt idx="13">
                        <c:v>1014.2599631450249</c:v>
                      </c:pt>
                      <c:pt idx="14">
                        <c:v>985.69424964936889</c:v>
                      </c:pt>
                      <c:pt idx="15">
                        <c:v>395.39834153132517</c:v>
                      </c:pt>
                      <c:pt idx="16">
                        <c:v>387.4130624931002</c:v>
                      </c:pt>
                      <c:pt idx="17">
                        <c:v>364.17587834891265</c:v>
                      </c:pt>
                      <c:pt idx="18">
                        <c:v>281.57096027767068</c:v>
                      </c:pt>
                      <c:pt idx="19">
                        <c:v>407.69128245998718</c:v>
                      </c:pt>
                      <c:pt idx="20">
                        <c:v>388.47391789206461</c:v>
                      </c:pt>
                      <c:pt idx="21">
                        <c:v>248.44577280114868</c:v>
                      </c:pt>
                      <c:pt idx="22">
                        <c:v>245.27063673896387</c:v>
                      </c:pt>
                      <c:pt idx="23">
                        <c:v>267.09954756699329</c:v>
                      </c:pt>
                      <c:pt idx="24">
                        <c:v>324.73430023149348</c:v>
                      </c:pt>
                      <c:pt idx="25">
                        <c:v>398.48632709749376</c:v>
                      </c:pt>
                      <c:pt idx="26">
                        <c:v>482.20290754824356</c:v>
                      </c:pt>
                      <c:pt idx="27">
                        <c:v>231.55753233807644</c:v>
                      </c:pt>
                      <c:pt idx="28">
                        <c:v>408.46366145354187</c:v>
                      </c:pt>
                      <c:pt idx="29">
                        <c:v>259.06890130353821</c:v>
                      </c:pt>
                      <c:pt idx="30">
                        <c:v>384.98705261351364</c:v>
                      </c:pt>
                      <c:pt idx="31">
                        <c:v>287.65724699772517</c:v>
                      </c:pt>
                      <c:pt idx="32">
                        <c:v>1400.4351729065409</c:v>
                      </c:pt>
                      <c:pt idx="33">
                        <c:v>283.14788261666286</c:v>
                      </c:pt>
                      <c:pt idx="34">
                        <c:v>371.53078595186338</c:v>
                      </c:pt>
                      <c:pt idx="35">
                        <c:v>402.85219937028756</c:v>
                      </c:pt>
                      <c:pt idx="36">
                        <c:v>208.95619422805078</c:v>
                      </c:pt>
                      <c:pt idx="37">
                        <c:v>373.0368682992052</c:v>
                      </c:pt>
                      <c:pt idx="38">
                        <c:v>389.85446136501832</c:v>
                      </c:pt>
                      <c:pt idx="39">
                        <c:v>276.88581081081082</c:v>
                      </c:pt>
                      <c:pt idx="40">
                        <c:v>363.98177657120243</c:v>
                      </c:pt>
                      <c:pt idx="41">
                        <c:v>1068.7291356539076</c:v>
                      </c:pt>
                      <c:pt idx="42">
                        <c:v>371.8029686841416</c:v>
                      </c:pt>
                      <c:pt idx="43">
                        <c:v>415.55262710861052</c:v>
                      </c:pt>
                      <c:pt idx="44">
                        <c:v>395.01954948481028</c:v>
                      </c:pt>
                      <c:pt idx="45">
                        <c:v>289.6468877718379</c:v>
                      </c:pt>
                      <c:pt idx="46">
                        <c:v>453.52286643300533</c:v>
                      </c:pt>
                      <c:pt idx="47">
                        <c:v>384.21145770686195</c:v>
                      </c:pt>
                      <c:pt idx="48">
                        <c:v>378.75641083670774</c:v>
                      </c:pt>
                    </c:numCache>
                  </c:numRef>
                </c:val>
                <c:extLst>
                  <c:ext xmlns:c16="http://schemas.microsoft.com/office/drawing/2014/chart" uri="{C3380CC4-5D6E-409C-BE32-E72D297353CC}">
                    <c16:uniqueId val="{00000003-F81D-4392-8ACC-9F4BD0965893}"/>
                  </c:ext>
                </c:extLst>
              </c15:ser>
            </c15:filteredBarSeries>
            <c15:filteredBarSeries>
              <c15:ser>
                <c:idx val="1"/>
                <c:order val="1"/>
                <c:tx>
                  <c:v>2018</c:v>
                </c:tx>
                <c:spPr>
                  <a:solidFill>
                    <a:schemeClr val="accent2"/>
                  </a:solidFill>
                  <a:ln>
                    <a:noFill/>
                  </a:ln>
                  <a:effectLst/>
                </c:spPr>
                <c:invertIfNegative val="0"/>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xmlns:c15="http://schemas.microsoft.com/office/drawing/2012/chart">
                      <c:ext xmlns:c15="http://schemas.microsoft.com/office/drawing/2012/chart" uri="{02D57815-91ED-43cb-92C2-25804820EDAC}">
                        <c15:formulaRef>
                          <c15:sqref>'Analisi dati, formula corretta'!$BA$4:$BA$52</c15:sqref>
                        </c15:formulaRef>
                      </c:ext>
                    </c:extLst>
                    <c:numCache>
                      <c:formatCode>#,##0.00</c:formatCode>
                      <c:ptCount val="49"/>
                      <c:pt idx="0">
                        <c:v>419.89</c:v>
                      </c:pt>
                      <c:pt idx="1">
                        <c:v>409.58238022968067</c:v>
                      </c:pt>
                      <c:pt idx="2">
                        <c:v>926.72316513761473</c:v>
                      </c:pt>
                      <c:pt idx="3">
                        <c:v>381.0792815113038</c:v>
                      </c:pt>
                      <c:pt idx="4">
                        <c:v>371</c:v>
                      </c:pt>
                      <c:pt idx="5">
                        <c:v>406.27387996618768</c:v>
                      </c:pt>
                      <c:pt idx="6">
                        <c:v>911.67606915377621</c:v>
                      </c:pt>
                      <c:pt idx="7">
                        <c:v>388.20765449918542</c:v>
                      </c:pt>
                      <c:pt idx="8">
                        <c:v>986.56227461858532</c:v>
                      </c:pt>
                      <c:pt idx="9">
                        <c:v>386.67514957901295</c:v>
                      </c:pt>
                      <c:pt idx="10">
                        <c:v>387.01950587966007</c:v>
                      </c:pt>
                      <c:pt idx="11">
                        <c:v>723.44061520934213</c:v>
                      </c:pt>
                      <c:pt idx="12">
                        <c:v>387.13318284424378</c:v>
                      </c:pt>
                      <c:pt idx="13">
                        <c:v>1019.6104139153898</c:v>
                      </c:pt>
                      <c:pt idx="14">
                        <c:v>988.42664998436032</c:v>
                      </c:pt>
                      <c:pt idx="15">
                        <c:v>387.90872892767277</c:v>
                      </c:pt>
                      <c:pt idx="16">
                        <c:v>394.07139945256534</c:v>
                      </c:pt>
                      <c:pt idx="17">
                        <c:v>367.13450773789924</c:v>
                      </c:pt>
                      <c:pt idx="18">
                        <c:v>298.59904118544347</c:v>
                      </c:pt>
                      <c:pt idx="19">
                        <c:v>411.19435185307179</c:v>
                      </c:pt>
                      <c:pt idx="20">
                        <c:v>386.13351422450734</c:v>
                      </c:pt>
                      <c:pt idx="21">
                        <c:v>247.8819510806058</c:v>
                      </c:pt>
                      <c:pt idx="22">
                        <c:v>231.51000417853015</c:v>
                      </c:pt>
                      <c:pt idx="23">
                        <c:v>268.02066743883017</c:v>
                      </c:pt>
                      <c:pt idx="24">
                        <c:v>319.05597837364905</c:v>
                      </c:pt>
                      <c:pt idx="25">
                        <c:v>406.70106208846397</c:v>
                      </c:pt>
                      <c:pt idx="26">
                        <c:v>409.7043808619257</c:v>
                      </c:pt>
                      <c:pt idx="27">
                        <c:v>226.53597176454846</c:v>
                      </c:pt>
                      <c:pt idx="28">
                        <c:v>402.79823269513992</c:v>
                      </c:pt>
                      <c:pt idx="29">
                        <c:v>264.37665769244217</c:v>
                      </c:pt>
                      <c:pt idx="30">
                        <c:v>385.18648408683117</c:v>
                      </c:pt>
                      <c:pt idx="31">
                        <c:v>346.91898585325868</c:v>
                      </c:pt>
                      <c:pt idx="32">
                        <c:v>1365.3490259504147</c:v>
                      </c:pt>
                      <c:pt idx="33">
                        <c:v>284.14168604159806</c:v>
                      </c:pt>
                      <c:pt idx="34">
                        <c:v>384.19213288507154</c:v>
                      </c:pt>
                      <c:pt idx="35">
                        <c:v>401.87925261907333</c:v>
                      </c:pt>
                      <c:pt idx="36">
                        <c:v>236.84385824673595</c:v>
                      </c:pt>
                      <c:pt idx="37">
                        <c:v>381.55689254338745</c:v>
                      </c:pt>
                      <c:pt idx="38">
                        <c:v>389.48996516680569</c:v>
                      </c:pt>
                      <c:pt idx="39">
                        <c:v>275.68735855156808</c:v>
                      </c:pt>
                      <c:pt idx="40">
                        <c:v>366.7633781033324</c:v>
                      </c:pt>
                      <c:pt idx="41">
                        <c:v>1039.507111940613</c:v>
                      </c:pt>
                      <c:pt idx="42">
                        <c:v>374.89580731984796</c:v>
                      </c:pt>
                      <c:pt idx="43">
                        <c:v>399.3525124299793</c:v>
                      </c:pt>
                      <c:pt idx="44">
                        <c:v>391.54343972989676</c:v>
                      </c:pt>
                      <c:pt idx="45">
                        <c:v>279.38215946467051</c:v>
                      </c:pt>
                      <c:pt idx="46">
                        <c:v>430.55219855054116</c:v>
                      </c:pt>
                      <c:pt idx="47">
                        <c:v>377.37046885271144</c:v>
                      </c:pt>
                      <c:pt idx="48">
                        <c:v>379.23259748048815</c:v>
                      </c:pt>
                    </c:numCache>
                  </c:numRef>
                </c:val>
                <c:extLst xmlns:c15="http://schemas.microsoft.com/office/drawing/2012/chart">
                  <c:ext xmlns:c16="http://schemas.microsoft.com/office/drawing/2014/chart" uri="{C3380CC4-5D6E-409C-BE32-E72D297353CC}">
                    <c16:uniqueId val="{00000004-F81D-4392-8ACC-9F4BD0965893}"/>
                  </c:ext>
                </c:extLst>
              </c15:ser>
            </c15:filteredBarSeries>
            <c15:filteredBarSeries>
              <c15:ser>
                <c:idx val="2"/>
                <c:order val="2"/>
                <c:tx>
                  <c:v>2019</c:v>
                </c:tx>
                <c:spPr>
                  <a:solidFill>
                    <a:schemeClr val="accent3"/>
                  </a:solidFill>
                  <a:ln>
                    <a:noFill/>
                  </a:ln>
                  <a:effectLst/>
                </c:spPr>
                <c:invertIfNegative val="0"/>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xmlns:c15="http://schemas.microsoft.com/office/drawing/2012/chart">
                      <c:ext xmlns:c15="http://schemas.microsoft.com/office/drawing/2012/chart" uri="{02D57815-91ED-43cb-92C2-25804820EDAC}">
                        <c15:formulaRef>
                          <c15:sqref>'Analisi dati, formula corretta'!$BB$4:$BB$52</c15:sqref>
                        </c15:formulaRef>
                      </c:ext>
                    </c:extLst>
                    <c:numCache>
                      <c:formatCode>#,##0.00</c:formatCode>
                      <c:ptCount val="49"/>
                      <c:pt idx="0">
                        <c:v>412.3</c:v>
                      </c:pt>
                      <c:pt idx="1">
                        <c:v>401.07605938585249</c:v>
                      </c:pt>
                      <c:pt idx="2">
                        <c:v>1028.8193651518611</c:v>
                      </c:pt>
                      <c:pt idx="3">
                        <c:v>379.55289765721329</c:v>
                      </c:pt>
                      <c:pt idx="4">
                        <c:v>386</c:v>
                      </c:pt>
                      <c:pt idx="5">
                        <c:v>386.94617563739376</c:v>
                      </c:pt>
                      <c:pt idx="6">
                        <c:v>882.47396630934145</c:v>
                      </c:pt>
                      <c:pt idx="7">
                        <c:v>394.73783455947142</c:v>
                      </c:pt>
                      <c:pt idx="8">
                        <c:v>1020.5023279875841</c:v>
                      </c:pt>
                      <c:pt idx="9">
                        <c:v>380.74424039983046</c:v>
                      </c:pt>
                      <c:pt idx="10">
                        <c:v>383.23726878930313</c:v>
                      </c:pt>
                      <c:pt idx="11">
                        <c:v>709.09307591467052</c:v>
                      </c:pt>
                      <c:pt idx="12">
                        <c:v>381.04020656584288</c:v>
                      </c:pt>
                      <c:pt idx="13">
                        <c:v>987.08187448670208</c:v>
                      </c:pt>
                      <c:pt idx="14">
                        <c:v>996.0972680876614</c:v>
                      </c:pt>
                      <c:pt idx="15">
                        <c:v>393.62834457951203</c:v>
                      </c:pt>
                      <c:pt idx="16">
                        <c:v>389.24523644308124</c:v>
                      </c:pt>
                      <c:pt idx="17">
                        <c:v>368.22433797550036</c:v>
                      </c:pt>
                      <c:pt idx="18">
                        <c:v>297.54750469826683</c:v>
                      </c:pt>
                      <c:pt idx="19">
                        <c:v>398.19853122774254</c:v>
                      </c:pt>
                      <c:pt idx="20">
                        <c:v>380.47284319130461</c:v>
                      </c:pt>
                      <c:pt idx="21">
                        <c:v>249.63268453557146</c:v>
                      </c:pt>
                      <c:pt idx="22">
                        <c:v>226.05266724053357</c:v>
                      </c:pt>
                      <c:pt idx="23">
                        <c:v>264.68753154045896</c:v>
                      </c:pt>
                      <c:pt idx="24">
                        <c:v>322.58963699208357</c:v>
                      </c:pt>
                      <c:pt idx="25">
                        <c:v>404.49073150664435</c:v>
                      </c:pt>
                      <c:pt idx="26">
                        <c:v>400.18382994743166</c:v>
                      </c:pt>
                      <c:pt idx="27">
                        <c:v>232.04161869800376</c:v>
                      </c:pt>
                      <c:pt idx="28">
                        <c:v>406.81818181818181</c:v>
                      </c:pt>
                      <c:pt idx="29">
                        <c:v>258.33805613673258</c:v>
                      </c:pt>
                      <c:pt idx="30">
                        <c:v>387.74340771304918</c:v>
                      </c:pt>
                      <c:pt idx="31">
                        <c:v>321.13423141688719</c:v>
                      </c:pt>
                      <c:pt idx="32">
                        <c:v>1315.3005104421818</c:v>
                      </c:pt>
                      <c:pt idx="33">
                        <c:v>281.32675916457544</c:v>
                      </c:pt>
                      <c:pt idx="34">
                        <c:v>384.49821561750724</c:v>
                      </c:pt>
                      <c:pt idx="35">
                        <c:v>398.94266051179977</c:v>
                      </c:pt>
                      <c:pt idx="36">
                        <c:v>178.69415807560139</c:v>
                      </c:pt>
                      <c:pt idx="37">
                        <c:v>0</c:v>
                      </c:pt>
                      <c:pt idx="38">
                        <c:v>393.45100995441476</c:v>
                      </c:pt>
                      <c:pt idx="39">
                        <c:v>284.46931163106137</c:v>
                      </c:pt>
                      <c:pt idx="40">
                        <c:v>366.21602235710282</c:v>
                      </c:pt>
                      <c:pt idx="41">
                        <c:v>1132.3979192318661</c:v>
                      </c:pt>
                      <c:pt idx="42">
                        <c:v>375.04012195179683</c:v>
                      </c:pt>
                      <c:pt idx="43">
                        <c:v>395.57312030931502</c:v>
                      </c:pt>
                      <c:pt idx="44">
                        <c:v>394.14656750474091</c:v>
                      </c:pt>
                      <c:pt idx="45">
                        <c:v>275.96848677570051</c:v>
                      </c:pt>
                      <c:pt idx="46">
                        <c:v>418.63708571875645</c:v>
                      </c:pt>
                      <c:pt idx="47">
                        <c:v>373.10171461386358</c:v>
                      </c:pt>
                      <c:pt idx="48">
                        <c:v>370.52096486727464</c:v>
                      </c:pt>
                    </c:numCache>
                  </c:numRef>
                </c:val>
                <c:extLst xmlns:c15="http://schemas.microsoft.com/office/drawing/2012/chart">
                  <c:ext xmlns:c16="http://schemas.microsoft.com/office/drawing/2014/chart" uri="{C3380CC4-5D6E-409C-BE32-E72D297353CC}">
                    <c16:uniqueId val="{00000005-F81D-4392-8ACC-9F4BD0965893}"/>
                  </c:ext>
                </c:extLst>
              </c15:ser>
            </c15:filteredBarSeries>
            <c15:filteredBarSeries>
              <c15:ser>
                <c:idx val="4"/>
                <c:order val="4"/>
                <c:spPr>
                  <a:solidFill>
                    <a:schemeClr val="accent5"/>
                  </a:solidFill>
                  <a:ln>
                    <a:noFill/>
                  </a:ln>
                  <a:effectLst/>
                </c:spPr>
                <c:invertIfNegative val="0"/>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xmlns:c15="http://schemas.microsoft.com/office/drawing/2012/chart">
                      <c:ext xmlns:c15="http://schemas.microsoft.com/office/drawing/2012/chart" uri="{02D57815-91ED-43cb-92C2-25804820EDAC}">
                        <c15:formulaRef>
                          <c15:sqref>'Analisi dati, formula corretta'!$BA$3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6-F81D-4392-8ACC-9F4BD0965893}"/>
                  </c:ext>
                </c:extLst>
              </c15:ser>
            </c15:filteredBarSeries>
            <c15:filteredBarSeries>
              <c15:ser>
                <c:idx val="5"/>
                <c:order val="5"/>
                <c:spPr>
                  <a:solidFill>
                    <a:schemeClr val="accent6"/>
                  </a:solidFill>
                  <a:ln>
                    <a:noFill/>
                  </a:ln>
                  <a:effectLst/>
                </c:spPr>
                <c:invertIfNegative val="0"/>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xmlns:c15="http://schemas.microsoft.com/office/drawing/2012/chart">
                      <c:ext xmlns:c15="http://schemas.microsoft.com/office/drawing/2012/chart" uri="{02D57815-91ED-43cb-92C2-25804820EDAC}">
                        <c15:formulaRef>
                          <c15:sqref>'Analisi dati, formula corretta'!$BB$3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7-F81D-4392-8ACC-9F4BD0965893}"/>
                  </c:ext>
                </c:extLst>
              </c15:ser>
            </c15:filteredBarSeries>
          </c:ext>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specifiche complessive in % di variazione (NOx)</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3"/>
          <c:order val="3"/>
          <c:tx>
            <c:v>Variazioni</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f>'Analisi dati, formula corretta'!$CE$4:$CE$52</c:f>
              <c:numCache>
                <c:formatCode>0.00%</c:formatCode>
                <c:ptCount val="49"/>
                <c:pt idx="0">
                  <c:v>0.18142617449664433</c:v>
                </c:pt>
                <c:pt idx="1">
                  <c:v>0.14489969811501524</c:v>
                </c:pt>
                <c:pt idx="2">
                  <c:v>1.7604662687012995E-2</c:v>
                </c:pt>
                <c:pt idx="3">
                  <c:v>-3.2407418134873689E-2</c:v>
                </c:pt>
                <c:pt idx="4">
                  <c:v>-0.56664835164835159</c:v>
                </c:pt>
                <c:pt idx="5">
                  <c:v>-6.3207278504728959E-2</c:v>
                </c:pt>
                <c:pt idx="6">
                  <c:v>-0.13430735482802858</c:v>
                </c:pt>
                <c:pt idx="7">
                  <c:v>-9.2752556459962943E-3</c:v>
                </c:pt>
                <c:pt idx="8">
                  <c:v>-0.45117973863559691</c:v>
                </c:pt>
                <c:pt idx="9">
                  <c:v>-0.35126068491448226</c:v>
                </c:pt>
                <c:pt idx="10">
                  <c:v>-2.7721394854391401E-2</c:v>
                </c:pt>
                <c:pt idx="11">
                  <c:v>-0.89018453837903244</c:v>
                </c:pt>
                <c:pt idx="12">
                  <c:v>0.1792756346320048</c:v>
                </c:pt>
                <c:pt idx="13">
                  <c:v>-0.17945156137204477</c:v>
                </c:pt>
                <c:pt idx="14">
                  <c:v>-7.4256512136399166E-2</c:v>
                </c:pt>
                <c:pt idx="15">
                  <c:v>0.26128696588065381</c:v>
                </c:pt>
                <c:pt idx="16">
                  <c:v>-5.7096339731252499E-2</c:v>
                </c:pt>
                <c:pt idx="17">
                  <c:v>-0.23351731793335129</c:v>
                </c:pt>
                <c:pt idx="18">
                  <c:v>-0.2817461615985396</c:v>
                </c:pt>
                <c:pt idx="19">
                  <c:v>0.25660700700454653</c:v>
                </c:pt>
                <c:pt idx="20">
                  <c:v>-5.938804260988273E-2</c:v>
                </c:pt>
                <c:pt idx="21">
                  <c:v>-0.49156876801902838</c:v>
                </c:pt>
                <c:pt idx="22">
                  <c:v>0.398077041316379</c:v>
                </c:pt>
                <c:pt idx="23">
                  <c:v>-6.3467735405163928E-2</c:v>
                </c:pt>
                <c:pt idx="24">
                  <c:v>0.31206006329871228</c:v>
                </c:pt>
                <c:pt idx="25">
                  <c:v>0.84688445298038229</c:v>
                </c:pt>
                <c:pt idx="26">
                  <c:v>-0.13533167547339497</c:v>
                </c:pt>
                <c:pt idx="27">
                  <c:v>-0.15241802074532729</c:v>
                </c:pt>
                <c:pt idx="28">
                  <c:v>-0.56874298540965207</c:v>
                </c:pt>
                <c:pt idx="29">
                  <c:v>-0.54195166318950116</c:v>
                </c:pt>
                <c:pt idx="30">
                  <c:v>0.11391638685726679</c:v>
                </c:pt>
                <c:pt idx="31">
                  <c:v>-4.3850178777311011E-2</c:v>
                </c:pt>
                <c:pt idx="32">
                  <c:v>6.6168334783612837E-2</c:v>
                </c:pt>
                <c:pt idx="33">
                  <c:v>-0.64368491363264424</c:v>
                </c:pt>
                <c:pt idx="34">
                  <c:v>0.1859994514904324</c:v>
                </c:pt>
                <c:pt idx="35">
                  <c:v>0.59055520225354829</c:v>
                </c:pt>
                <c:pt idx="36">
                  <c:v>9.7856132954928121E-2</c:v>
                </c:pt>
                <c:pt idx="37">
                  <c:v>-0.41728862061333039</c:v>
                </c:pt>
                <c:pt idx="38">
                  <c:v>-0.26911678291670349</c:v>
                </c:pt>
                <c:pt idx="39">
                  <c:v>0.11611684348205209</c:v>
                </c:pt>
                <c:pt idx="40">
                  <c:v>0.18810199646770664</c:v>
                </c:pt>
                <c:pt idx="41">
                  <c:v>-0.28272405118394206</c:v>
                </c:pt>
                <c:pt idx="42">
                  <c:v>-0.29066507772792616</c:v>
                </c:pt>
                <c:pt idx="43">
                  <c:v>-0.12902455623382092</c:v>
                </c:pt>
                <c:pt idx="44">
                  <c:v>-0.12384742433283003</c:v>
                </c:pt>
                <c:pt idx="45">
                  <c:v>-0.4548403363102389</c:v>
                </c:pt>
                <c:pt idx="46">
                  <c:v>0.22143601651863798</c:v>
                </c:pt>
                <c:pt idx="47">
                  <c:v>6.8167009372287257E-2</c:v>
                </c:pt>
                <c:pt idx="48">
                  <c:v>-0.38923318562103271</c:v>
                </c:pt>
              </c:numCache>
            </c:numRef>
          </c:val>
          <c:extLst xmlns:c15="http://schemas.microsoft.com/office/drawing/2012/chart">
            <c:ext xmlns:c16="http://schemas.microsoft.com/office/drawing/2014/chart" uri="{C3380CC4-5D6E-409C-BE32-E72D297353CC}">
              <c16:uniqueId val="{00000002-BBBA-451E-92E8-B6EBB248FAA9}"/>
            </c:ext>
          </c:extLst>
        </c:ser>
        <c:dLbls>
          <c:dLblPos val="outEnd"/>
          <c:showLegendKey val="0"/>
          <c:showVal val="1"/>
          <c:showCatName val="0"/>
          <c:showSerName val="0"/>
          <c:showPercent val="0"/>
          <c:showBubbleSize val="0"/>
        </c:dLbls>
        <c:gapWidth val="219"/>
        <c:overlap val="-27"/>
        <c:axId val="55998191"/>
        <c:axId val="55996943"/>
        <c:extLst>
          <c:ext xmlns:c15="http://schemas.microsoft.com/office/drawing/2012/chart" uri="{02D57815-91ED-43cb-92C2-25804820EDAC}">
            <c15:filteredBarSeries>
              <c15:ser>
                <c:idx val="0"/>
                <c:order val="0"/>
                <c:tx>
                  <c:v>2017</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c:ext uri="{02D57815-91ED-43cb-92C2-25804820EDAC}">
                        <c15:formulaRef>
                          <c15:sqref>'Analisi dati, formula corretta'!$AZ$4:$AZ$52</c15:sqref>
                        </c15:formulaRef>
                      </c:ext>
                    </c:extLst>
                    <c:numCache>
                      <c:formatCode>#,##0.00</c:formatCode>
                      <c:ptCount val="49"/>
                      <c:pt idx="0">
                        <c:v>368.88</c:v>
                      </c:pt>
                      <c:pt idx="1">
                        <c:v>405.35909752359856</c:v>
                      </c:pt>
                      <c:pt idx="2">
                        <c:v>881.75829941203074</c:v>
                      </c:pt>
                      <c:pt idx="3">
                        <c:v>388.47824696097251</c:v>
                      </c:pt>
                      <c:pt idx="4">
                        <c:v>371</c:v>
                      </c:pt>
                      <c:pt idx="5">
                        <c:v>388.38532110091745</c:v>
                      </c:pt>
                      <c:pt idx="6">
                        <c:v>904.86689132266213</c:v>
                      </c:pt>
                      <c:pt idx="7">
                        <c:v>395.22230272631839</c:v>
                      </c:pt>
                      <c:pt idx="8">
                        <c:v>976.88275862068963</c:v>
                      </c:pt>
                      <c:pt idx="9">
                        <c:v>386.18599926009006</c:v>
                      </c:pt>
                      <c:pt idx="10">
                        <c:v>391.62999138401415</c:v>
                      </c:pt>
                      <c:pt idx="11">
                        <c:v>704.4110766089583</c:v>
                      </c:pt>
                      <c:pt idx="12">
                        <c:v>382.60635433494883</c:v>
                      </c:pt>
                      <c:pt idx="13">
                        <c:v>1014.2599631450249</c:v>
                      </c:pt>
                      <c:pt idx="14">
                        <c:v>985.69424964936889</c:v>
                      </c:pt>
                      <c:pt idx="15">
                        <c:v>395.39834153132517</c:v>
                      </c:pt>
                      <c:pt idx="16">
                        <c:v>387.4130624931002</c:v>
                      </c:pt>
                      <c:pt idx="17">
                        <c:v>364.17587834891265</c:v>
                      </c:pt>
                      <c:pt idx="18">
                        <c:v>281.57096027767068</c:v>
                      </c:pt>
                      <c:pt idx="19">
                        <c:v>407.69128245998718</c:v>
                      </c:pt>
                      <c:pt idx="20">
                        <c:v>388.47391789206461</c:v>
                      </c:pt>
                      <c:pt idx="21">
                        <c:v>248.44577280114868</c:v>
                      </c:pt>
                      <c:pt idx="22">
                        <c:v>245.27063673896387</c:v>
                      </c:pt>
                      <c:pt idx="23">
                        <c:v>267.09954756699329</c:v>
                      </c:pt>
                      <c:pt idx="24">
                        <c:v>324.73430023149348</c:v>
                      </c:pt>
                      <c:pt idx="25">
                        <c:v>398.48632709749376</c:v>
                      </c:pt>
                      <c:pt idx="26">
                        <c:v>482.20290754824356</c:v>
                      </c:pt>
                      <c:pt idx="27">
                        <c:v>231.55753233807644</c:v>
                      </c:pt>
                      <c:pt idx="28">
                        <c:v>408.46366145354187</c:v>
                      </c:pt>
                      <c:pt idx="29">
                        <c:v>259.06890130353821</c:v>
                      </c:pt>
                      <c:pt idx="30">
                        <c:v>384.98705261351364</c:v>
                      </c:pt>
                      <c:pt idx="31">
                        <c:v>287.65724699772517</c:v>
                      </c:pt>
                      <c:pt idx="32">
                        <c:v>1400.4351729065409</c:v>
                      </c:pt>
                      <c:pt idx="33">
                        <c:v>283.14788261666286</c:v>
                      </c:pt>
                      <c:pt idx="34">
                        <c:v>371.53078595186338</c:v>
                      </c:pt>
                      <c:pt idx="35">
                        <c:v>402.85219937028756</c:v>
                      </c:pt>
                      <c:pt idx="36">
                        <c:v>208.95619422805078</c:v>
                      </c:pt>
                      <c:pt idx="37">
                        <c:v>373.0368682992052</c:v>
                      </c:pt>
                      <c:pt idx="38">
                        <c:v>389.85446136501832</c:v>
                      </c:pt>
                      <c:pt idx="39">
                        <c:v>276.88581081081082</c:v>
                      </c:pt>
                      <c:pt idx="40">
                        <c:v>363.98177657120243</c:v>
                      </c:pt>
                      <c:pt idx="41">
                        <c:v>1068.7291356539076</c:v>
                      </c:pt>
                      <c:pt idx="42">
                        <c:v>371.8029686841416</c:v>
                      </c:pt>
                      <c:pt idx="43">
                        <c:v>415.55262710861052</c:v>
                      </c:pt>
                      <c:pt idx="44">
                        <c:v>395.01954948481028</c:v>
                      </c:pt>
                      <c:pt idx="45">
                        <c:v>289.6468877718379</c:v>
                      </c:pt>
                      <c:pt idx="46">
                        <c:v>453.52286643300533</c:v>
                      </c:pt>
                      <c:pt idx="47">
                        <c:v>384.21145770686195</c:v>
                      </c:pt>
                      <c:pt idx="48">
                        <c:v>378.75641083670774</c:v>
                      </c:pt>
                    </c:numCache>
                  </c:numRef>
                </c:val>
                <c:extLst>
                  <c:ext xmlns:c16="http://schemas.microsoft.com/office/drawing/2014/chart" uri="{C3380CC4-5D6E-409C-BE32-E72D297353CC}">
                    <c16:uniqueId val="{00000003-BBBA-451E-92E8-B6EBB248FAA9}"/>
                  </c:ext>
                </c:extLst>
              </c15:ser>
            </c15:filteredBarSeries>
            <c15:filteredBarSeries>
              <c15:ser>
                <c:idx val="1"/>
                <c:order val="1"/>
                <c:tx>
                  <c:v>2018</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xmlns:c15="http://schemas.microsoft.com/office/drawing/2012/chart">
                      <c:ext xmlns:c15="http://schemas.microsoft.com/office/drawing/2012/chart" uri="{02D57815-91ED-43cb-92C2-25804820EDAC}">
                        <c15:formulaRef>
                          <c15:sqref>'Analisi dati, formula corretta'!$BA$4:$BA$52</c15:sqref>
                        </c15:formulaRef>
                      </c:ext>
                    </c:extLst>
                    <c:numCache>
                      <c:formatCode>#,##0.00</c:formatCode>
                      <c:ptCount val="49"/>
                      <c:pt idx="0">
                        <c:v>419.89</c:v>
                      </c:pt>
                      <c:pt idx="1">
                        <c:v>409.58238022968067</c:v>
                      </c:pt>
                      <c:pt idx="2">
                        <c:v>926.72316513761473</c:v>
                      </c:pt>
                      <c:pt idx="3">
                        <c:v>381.0792815113038</c:v>
                      </c:pt>
                      <c:pt idx="4">
                        <c:v>371</c:v>
                      </c:pt>
                      <c:pt idx="5">
                        <c:v>406.27387996618768</c:v>
                      </c:pt>
                      <c:pt idx="6">
                        <c:v>911.67606915377621</c:v>
                      </c:pt>
                      <c:pt idx="7">
                        <c:v>388.20765449918542</c:v>
                      </c:pt>
                      <c:pt idx="8">
                        <c:v>986.56227461858532</c:v>
                      </c:pt>
                      <c:pt idx="9">
                        <c:v>386.67514957901295</c:v>
                      </c:pt>
                      <c:pt idx="10">
                        <c:v>387.01950587966007</c:v>
                      </c:pt>
                      <c:pt idx="11">
                        <c:v>723.44061520934213</c:v>
                      </c:pt>
                      <c:pt idx="12">
                        <c:v>387.13318284424378</c:v>
                      </c:pt>
                      <c:pt idx="13">
                        <c:v>1019.6104139153898</c:v>
                      </c:pt>
                      <c:pt idx="14">
                        <c:v>988.42664998436032</c:v>
                      </c:pt>
                      <c:pt idx="15">
                        <c:v>387.90872892767277</c:v>
                      </c:pt>
                      <c:pt idx="16">
                        <c:v>394.07139945256534</c:v>
                      </c:pt>
                      <c:pt idx="17">
                        <c:v>367.13450773789924</c:v>
                      </c:pt>
                      <c:pt idx="18">
                        <c:v>298.59904118544347</c:v>
                      </c:pt>
                      <c:pt idx="19">
                        <c:v>411.19435185307179</c:v>
                      </c:pt>
                      <c:pt idx="20">
                        <c:v>386.13351422450734</c:v>
                      </c:pt>
                      <c:pt idx="21">
                        <c:v>247.8819510806058</c:v>
                      </c:pt>
                      <c:pt idx="22">
                        <c:v>231.51000417853015</c:v>
                      </c:pt>
                      <c:pt idx="23">
                        <c:v>268.02066743883017</c:v>
                      </c:pt>
                      <c:pt idx="24">
                        <c:v>319.05597837364905</c:v>
                      </c:pt>
                      <c:pt idx="25">
                        <c:v>406.70106208846397</c:v>
                      </c:pt>
                      <c:pt idx="26">
                        <c:v>409.7043808619257</c:v>
                      </c:pt>
                      <c:pt idx="27">
                        <c:v>226.53597176454846</c:v>
                      </c:pt>
                      <c:pt idx="28">
                        <c:v>402.79823269513992</c:v>
                      </c:pt>
                      <c:pt idx="29">
                        <c:v>264.37665769244217</c:v>
                      </c:pt>
                      <c:pt idx="30">
                        <c:v>385.18648408683117</c:v>
                      </c:pt>
                      <c:pt idx="31">
                        <c:v>346.91898585325868</c:v>
                      </c:pt>
                      <c:pt idx="32">
                        <c:v>1365.3490259504147</c:v>
                      </c:pt>
                      <c:pt idx="33">
                        <c:v>284.14168604159806</c:v>
                      </c:pt>
                      <c:pt idx="34">
                        <c:v>384.19213288507154</c:v>
                      </c:pt>
                      <c:pt idx="35">
                        <c:v>401.87925261907333</c:v>
                      </c:pt>
                      <c:pt idx="36">
                        <c:v>236.84385824673595</c:v>
                      </c:pt>
                      <c:pt idx="37">
                        <c:v>381.55689254338745</c:v>
                      </c:pt>
                      <c:pt idx="38">
                        <c:v>389.48996516680569</c:v>
                      </c:pt>
                      <c:pt idx="39">
                        <c:v>275.68735855156808</c:v>
                      </c:pt>
                      <c:pt idx="40">
                        <c:v>366.7633781033324</c:v>
                      </c:pt>
                      <c:pt idx="41">
                        <c:v>1039.507111940613</c:v>
                      </c:pt>
                      <c:pt idx="42">
                        <c:v>374.89580731984796</c:v>
                      </c:pt>
                      <c:pt idx="43">
                        <c:v>399.3525124299793</c:v>
                      </c:pt>
                      <c:pt idx="44">
                        <c:v>391.54343972989676</c:v>
                      </c:pt>
                      <c:pt idx="45">
                        <c:v>279.38215946467051</c:v>
                      </c:pt>
                      <c:pt idx="46">
                        <c:v>430.55219855054116</c:v>
                      </c:pt>
                      <c:pt idx="47">
                        <c:v>377.37046885271144</c:v>
                      </c:pt>
                      <c:pt idx="48">
                        <c:v>379.23259748048815</c:v>
                      </c:pt>
                    </c:numCache>
                  </c:numRef>
                </c:val>
                <c:extLst xmlns:c15="http://schemas.microsoft.com/office/drawing/2012/chart">
                  <c:ext xmlns:c16="http://schemas.microsoft.com/office/drawing/2014/chart" uri="{C3380CC4-5D6E-409C-BE32-E72D297353CC}">
                    <c16:uniqueId val="{00000004-BBBA-451E-92E8-B6EBB248FAA9}"/>
                  </c:ext>
                </c:extLst>
              </c15:ser>
            </c15:filteredBarSeries>
            <c15:filteredBarSeries>
              <c15:ser>
                <c:idx val="2"/>
                <c:order val="2"/>
                <c:tx>
                  <c:v>2019</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xmlns:c15="http://schemas.microsoft.com/office/drawing/2012/chart">
                      <c:ext xmlns:c15="http://schemas.microsoft.com/office/drawing/2012/chart" uri="{02D57815-91ED-43cb-92C2-25804820EDAC}">
                        <c15:formulaRef>
                          <c15:sqref>'Analisi dati, formula corretta'!$BB$4:$BB$52</c15:sqref>
                        </c15:formulaRef>
                      </c:ext>
                    </c:extLst>
                    <c:numCache>
                      <c:formatCode>#,##0.00</c:formatCode>
                      <c:ptCount val="49"/>
                      <c:pt idx="0">
                        <c:v>412.3</c:v>
                      </c:pt>
                      <c:pt idx="1">
                        <c:v>401.07605938585249</c:v>
                      </c:pt>
                      <c:pt idx="2">
                        <c:v>1028.8193651518611</c:v>
                      </c:pt>
                      <c:pt idx="3">
                        <c:v>379.55289765721329</c:v>
                      </c:pt>
                      <c:pt idx="4">
                        <c:v>386</c:v>
                      </c:pt>
                      <c:pt idx="5">
                        <c:v>386.94617563739376</c:v>
                      </c:pt>
                      <c:pt idx="6">
                        <c:v>882.47396630934145</c:v>
                      </c:pt>
                      <c:pt idx="7">
                        <c:v>394.73783455947142</c:v>
                      </c:pt>
                      <c:pt idx="8">
                        <c:v>1020.5023279875841</c:v>
                      </c:pt>
                      <c:pt idx="9">
                        <c:v>380.74424039983046</c:v>
                      </c:pt>
                      <c:pt idx="10">
                        <c:v>383.23726878930313</c:v>
                      </c:pt>
                      <c:pt idx="11">
                        <c:v>709.09307591467052</c:v>
                      </c:pt>
                      <c:pt idx="12">
                        <c:v>381.04020656584288</c:v>
                      </c:pt>
                      <c:pt idx="13">
                        <c:v>987.08187448670208</c:v>
                      </c:pt>
                      <c:pt idx="14">
                        <c:v>996.0972680876614</c:v>
                      </c:pt>
                      <c:pt idx="15">
                        <c:v>393.62834457951203</c:v>
                      </c:pt>
                      <c:pt idx="16">
                        <c:v>389.24523644308124</c:v>
                      </c:pt>
                      <c:pt idx="17">
                        <c:v>368.22433797550036</c:v>
                      </c:pt>
                      <c:pt idx="18">
                        <c:v>297.54750469826683</c:v>
                      </c:pt>
                      <c:pt idx="19">
                        <c:v>398.19853122774254</c:v>
                      </c:pt>
                      <c:pt idx="20">
                        <c:v>380.47284319130461</c:v>
                      </c:pt>
                      <c:pt idx="21">
                        <c:v>249.63268453557146</c:v>
                      </c:pt>
                      <c:pt idx="22">
                        <c:v>226.05266724053357</c:v>
                      </c:pt>
                      <c:pt idx="23">
                        <c:v>264.68753154045896</c:v>
                      </c:pt>
                      <c:pt idx="24">
                        <c:v>322.58963699208357</c:v>
                      </c:pt>
                      <c:pt idx="25">
                        <c:v>404.49073150664435</c:v>
                      </c:pt>
                      <c:pt idx="26">
                        <c:v>400.18382994743166</c:v>
                      </c:pt>
                      <c:pt idx="27">
                        <c:v>232.04161869800376</c:v>
                      </c:pt>
                      <c:pt idx="28">
                        <c:v>406.81818181818181</c:v>
                      </c:pt>
                      <c:pt idx="29">
                        <c:v>258.33805613673258</c:v>
                      </c:pt>
                      <c:pt idx="30">
                        <c:v>387.74340771304918</c:v>
                      </c:pt>
                      <c:pt idx="31">
                        <c:v>321.13423141688719</c:v>
                      </c:pt>
                      <c:pt idx="32">
                        <c:v>1315.3005104421818</c:v>
                      </c:pt>
                      <c:pt idx="33">
                        <c:v>281.32675916457544</c:v>
                      </c:pt>
                      <c:pt idx="34">
                        <c:v>384.49821561750724</c:v>
                      </c:pt>
                      <c:pt idx="35">
                        <c:v>398.94266051179977</c:v>
                      </c:pt>
                      <c:pt idx="36">
                        <c:v>178.69415807560139</c:v>
                      </c:pt>
                      <c:pt idx="37">
                        <c:v>0</c:v>
                      </c:pt>
                      <c:pt idx="38">
                        <c:v>393.45100995441476</c:v>
                      </c:pt>
                      <c:pt idx="39">
                        <c:v>284.46931163106137</c:v>
                      </c:pt>
                      <c:pt idx="40">
                        <c:v>366.21602235710282</c:v>
                      </c:pt>
                      <c:pt idx="41">
                        <c:v>1132.3979192318661</c:v>
                      </c:pt>
                      <c:pt idx="42">
                        <c:v>375.04012195179683</c:v>
                      </c:pt>
                      <c:pt idx="43">
                        <c:v>395.57312030931502</c:v>
                      </c:pt>
                      <c:pt idx="44">
                        <c:v>394.14656750474091</c:v>
                      </c:pt>
                      <c:pt idx="45">
                        <c:v>275.96848677570051</c:v>
                      </c:pt>
                      <c:pt idx="46">
                        <c:v>418.63708571875645</c:v>
                      </c:pt>
                      <c:pt idx="47">
                        <c:v>373.10171461386358</c:v>
                      </c:pt>
                      <c:pt idx="48">
                        <c:v>370.52096486727464</c:v>
                      </c:pt>
                    </c:numCache>
                  </c:numRef>
                </c:val>
                <c:extLst xmlns:c15="http://schemas.microsoft.com/office/drawing/2012/chart">
                  <c:ext xmlns:c16="http://schemas.microsoft.com/office/drawing/2014/chart" uri="{C3380CC4-5D6E-409C-BE32-E72D297353CC}">
                    <c16:uniqueId val="{00000005-BBBA-451E-92E8-B6EBB248FAA9}"/>
                  </c:ext>
                </c:extLst>
              </c15:ser>
            </c15:filteredBarSeries>
            <c15:filteredBarSeries>
              <c15:ser>
                <c:idx val="4"/>
                <c:order val="4"/>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xmlns:c15="http://schemas.microsoft.com/office/drawing/2012/chart">
                      <c:ext xmlns:c15="http://schemas.microsoft.com/office/drawing/2012/chart" uri="{02D57815-91ED-43cb-92C2-25804820EDAC}">
                        <c15:formulaRef>
                          <c15:sqref>'Analisi dati, formula corretta'!$BA$3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6-BBBA-451E-92E8-B6EBB248FAA9}"/>
                  </c:ext>
                </c:extLst>
              </c15:ser>
            </c15:filteredBarSeries>
            <c15:filteredBarSeries>
              <c15:ser>
                <c:idx val="5"/>
                <c:order val="5"/>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xmlns:c15="http://schemas.microsoft.com/office/drawing/2012/chart">
                      <c:ext xmlns:c15="http://schemas.microsoft.com/office/drawing/2012/chart" uri="{02D57815-91ED-43cb-92C2-25804820EDAC}">
                        <c15:formulaRef>
                          <c15:sqref>'Analisi dati, formula corretta'!$BB$3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7-BBBA-451E-92E8-B6EBB248FAA9}"/>
                  </c:ext>
                </c:extLst>
              </c15:ser>
            </c15:filteredBarSeries>
          </c:ext>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specifiche complessive in % di variazione (CO)</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3"/>
          <c:order val="3"/>
          <c:tx>
            <c:v>Variazioni</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f>'Analisi dati, formula corretta'!$DB$4:$DB$52</c:f>
              <c:numCache>
                <c:formatCode>0.00%</c:formatCode>
                <c:ptCount val="49"/>
                <c:pt idx="0">
                  <c:v>2.1894390243902433</c:v>
                </c:pt>
                <c:pt idx="1">
                  <c:v>1.4469690589298434</c:v>
                </c:pt>
                <c:pt idx="2">
                  <c:v>8.8296947691874461E-2</c:v>
                </c:pt>
                <c:pt idx="3">
                  <c:v>-0.43078698962709083</c:v>
                </c:pt>
                <c:pt idx="4">
                  <c:v>0</c:v>
                </c:pt>
                <c:pt idx="5">
                  <c:v>2.364188587616356E-2</c:v>
                </c:pt>
                <c:pt idx="6">
                  <c:v>0.23428395311431505</c:v>
                </c:pt>
                <c:pt idx="7">
                  <c:v>-0.3226810993687983</c:v>
                </c:pt>
                <c:pt idx="8">
                  <c:v>-0.30220527195947977</c:v>
                </c:pt>
                <c:pt idx="9">
                  <c:v>-0.71299173205540045</c:v>
                </c:pt>
                <c:pt idx="10">
                  <c:v>0.20080567888352041</c:v>
                </c:pt>
                <c:pt idx="11">
                  <c:v>-0.28399641149909294</c:v>
                </c:pt>
                <c:pt idx="12">
                  <c:v>0.10221874333067005</c:v>
                </c:pt>
                <c:pt idx="13">
                  <c:v>-0.53253477209750333</c:v>
                </c:pt>
                <c:pt idx="14">
                  <c:v>-0.98550413861131358</c:v>
                </c:pt>
                <c:pt idx="15">
                  <c:v>0.46731495287089109</c:v>
                </c:pt>
                <c:pt idx="16">
                  <c:v>-0.88840758024770861</c:v>
                </c:pt>
                <c:pt idx="17">
                  <c:v>1.2734880647398223</c:v>
                </c:pt>
                <c:pt idx="18">
                  <c:v>3.0361468245682062</c:v>
                </c:pt>
                <c:pt idx="19">
                  <c:v>0.39109558440877579</c:v>
                </c:pt>
                <c:pt idx="20">
                  <c:v>2.7037719730852983</c:v>
                </c:pt>
                <c:pt idx="21">
                  <c:v>-0.4666184011841582</c:v>
                </c:pt>
                <c:pt idx="22">
                  <c:v>0.4314869706125426</c:v>
                </c:pt>
                <c:pt idx="23">
                  <c:v>-0.86945554607430242</c:v>
                </c:pt>
                <c:pt idx="24">
                  <c:v>1.9723011524090741</c:v>
                </c:pt>
                <c:pt idx="25">
                  <c:v>-0.10071582714879734</c:v>
                </c:pt>
                <c:pt idx="26">
                  <c:v>-0.24238929449189761</c:v>
                </c:pt>
                <c:pt idx="27">
                  <c:v>0.5392169754684617</c:v>
                </c:pt>
                <c:pt idx="28">
                  <c:v>3.5016835016835168E-2</c:v>
                </c:pt>
                <c:pt idx="29">
                  <c:v>-0.37219468438769865</c:v>
                </c:pt>
                <c:pt idx="30">
                  <c:v>1.0178456839037153</c:v>
                </c:pt>
                <c:pt idx="31">
                  <c:v>-0.28274048820531161</c:v>
                </c:pt>
                <c:pt idx="32">
                  <c:v>-0.3645102099395322</c:v>
                </c:pt>
                <c:pt idx="33">
                  <c:v>-0.77235238465703593</c:v>
                </c:pt>
                <c:pt idx="34">
                  <c:v>-0.53257740112698748</c:v>
                </c:pt>
                <c:pt idx="35">
                  <c:v>-0.6087915606798886</c:v>
                </c:pt>
                <c:pt idx="36">
                  <c:v>0.19257891170586094</c:v>
                </c:pt>
                <c:pt idx="37">
                  <c:v>-3.0837744756173069E-2</c:v>
                </c:pt>
                <c:pt idx="38">
                  <c:v>-0.39334630175252705</c:v>
                </c:pt>
                <c:pt idx="39">
                  <c:v>-0.97817648630063025</c:v>
                </c:pt>
                <c:pt idx="40">
                  <c:v>-0.81385309161436303</c:v>
                </c:pt>
                <c:pt idx="41">
                  <c:v>-0.46835072323620242</c:v>
                </c:pt>
                <c:pt idx="42">
                  <c:v>-0.85254629912772706</c:v>
                </c:pt>
                <c:pt idx="43">
                  <c:v>1.4933330848688975E-2</c:v>
                </c:pt>
                <c:pt idx="44">
                  <c:v>-0.68842317185546686</c:v>
                </c:pt>
                <c:pt idx="45">
                  <c:v>0.35361822278565458</c:v>
                </c:pt>
                <c:pt idx="46">
                  <c:v>-5.1853320510646284E-2</c:v>
                </c:pt>
                <c:pt idx="47">
                  <c:v>-0.5770344256970491</c:v>
                </c:pt>
                <c:pt idx="48">
                  <c:v>-0.52865019233908694</c:v>
                </c:pt>
              </c:numCache>
            </c:numRef>
          </c:val>
          <c:extLst xmlns:c15="http://schemas.microsoft.com/office/drawing/2012/chart">
            <c:ext xmlns:c16="http://schemas.microsoft.com/office/drawing/2014/chart" uri="{C3380CC4-5D6E-409C-BE32-E72D297353CC}">
              <c16:uniqueId val="{00000000-183E-49D9-8B9E-B82A63B06E0B}"/>
            </c:ext>
          </c:extLst>
        </c:ser>
        <c:dLbls>
          <c:dLblPos val="outEnd"/>
          <c:showLegendKey val="0"/>
          <c:showVal val="1"/>
          <c:showCatName val="0"/>
          <c:showSerName val="0"/>
          <c:showPercent val="0"/>
          <c:showBubbleSize val="0"/>
        </c:dLbls>
        <c:gapWidth val="219"/>
        <c:overlap val="-27"/>
        <c:axId val="55998191"/>
        <c:axId val="55996943"/>
        <c:extLst>
          <c:ext xmlns:c15="http://schemas.microsoft.com/office/drawing/2012/chart" uri="{02D57815-91ED-43cb-92C2-25804820EDAC}">
            <c15:filteredBarSeries>
              <c15:ser>
                <c:idx val="0"/>
                <c:order val="0"/>
                <c:tx>
                  <c:v>2017</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c:ext uri="{02D57815-91ED-43cb-92C2-25804820EDAC}">
                        <c15:formulaRef>
                          <c15:sqref>'Analisi dati, formula corretta'!$AZ$4:$AZ$52</c15:sqref>
                        </c15:formulaRef>
                      </c:ext>
                    </c:extLst>
                    <c:numCache>
                      <c:formatCode>#,##0.00</c:formatCode>
                      <c:ptCount val="49"/>
                      <c:pt idx="0">
                        <c:v>368.88</c:v>
                      </c:pt>
                      <c:pt idx="1">
                        <c:v>405.35909752359856</c:v>
                      </c:pt>
                      <c:pt idx="2">
                        <c:v>881.75829941203074</c:v>
                      </c:pt>
                      <c:pt idx="3">
                        <c:v>388.47824696097251</c:v>
                      </c:pt>
                      <c:pt idx="4">
                        <c:v>371</c:v>
                      </c:pt>
                      <c:pt idx="5">
                        <c:v>388.38532110091745</c:v>
                      </c:pt>
                      <c:pt idx="6">
                        <c:v>904.86689132266213</c:v>
                      </c:pt>
                      <c:pt idx="7">
                        <c:v>395.22230272631839</c:v>
                      </c:pt>
                      <c:pt idx="8">
                        <c:v>976.88275862068963</c:v>
                      </c:pt>
                      <c:pt idx="9">
                        <c:v>386.18599926009006</c:v>
                      </c:pt>
                      <c:pt idx="10">
                        <c:v>391.62999138401415</c:v>
                      </c:pt>
                      <c:pt idx="11">
                        <c:v>704.4110766089583</c:v>
                      </c:pt>
                      <c:pt idx="12">
                        <c:v>382.60635433494883</c:v>
                      </c:pt>
                      <c:pt idx="13">
                        <c:v>1014.2599631450249</c:v>
                      </c:pt>
                      <c:pt idx="14">
                        <c:v>985.69424964936889</c:v>
                      </c:pt>
                      <c:pt idx="15">
                        <c:v>395.39834153132517</c:v>
                      </c:pt>
                      <c:pt idx="16">
                        <c:v>387.4130624931002</c:v>
                      </c:pt>
                      <c:pt idx="17">
                        <c:v>364.17587834891265</c:v>
                      </c:pt>
                      <c:pt idx="18">
                        <c:v>281.57096027767068</c:v>
                      </c:pt>
                      <c:pt idx="19">
                        <c:v>407.69128245998718</c:v>
                      </c:pt>
                      <c:pt idx="20">
                        <c:v>388.47391789206461</c:v>
                      </c:pt>
                      <c:pt idx="21">
                        <c:v>248.44577280114868</c:v>
                      </c:pt>
                      <c:pt idx="22">
                        <c:v>245.27063673896387</c:v>
                      </c:pt>
                      <c:pt idx="23">
                        <c:v>267.09954756699329</c:v>
                      </c:pt>
                      <c:pt idx="24">
                        <c:v>324.73430023149348</c:v>
                      </c:pt>
                      <c:pt idx="25">
                        <c:v>398.48632709749376</c:v>
                      </c:pt>
                      <c:pt idx="26">
                        <c:v>482.20290754824356</c:v>
                      </c:pt>
                      <c:pt idx="27">
                        <c:v>231.55753233807644</c:v>
                      </c:pt>
                      <c:pt idx="28">
                        <c:v>408.46366145354187</c:v>
                      </c:pt>
                      <c:pt idx="29">
                        <c:v>259.06890130353821</c:v>
                      </c:pt>
                      <c:pt idx="30">
                        <c:v>384.98705261351364</c:v>
                      </c:pt>
                      <c:pt idx="31">
                        <c:v>287.65724699772517</c:v>
                      </c:pt>
                      <c:pt idx="32">
                        <c:v>1400.4351729065409</c:v>
                      </c:pt>
                      <c:pt idx="33">
                        <c:v>283.14788261666286</c:v>
                      </c:pt>
                      <c:pt idx="34">
                        <c:v>371.53078595186338</c:v>
                      </c:pt>
                      <c:pt idx="35">
                        <c:v>402.85219937028756</c:v>
                      </c:pt>
                      <c:pt idx="36">
                        <c:v>208.95619422805078</c:v>
                      </c:pt>
                      <c:pt idx="37">
                        <c:v>373.0368682992052</c:v>
                      </c:pt>
                      <c:pt idx="38">
                        <c:v>389.85446136501832</c:v>
                      </c:pt>
                      <c:pt idx="39">
                        <c:v>276.88581081081082</c:v>
                      </c:pt>
                      <c:pt idx="40">
                        <c:v>363.98177657120243</c:v>
                      </c:pt>
                      <c:pt idx="41">
                        <c:v>1068.7291356539076</c:v>
                      </c:pt>
                      <c:pt idx="42">
                        <c:v>371.8029686841416</c:v>
                      </c:pt>
                      <c:pt idx="43">
                        <c:v>415.55262710861052</c:v>
                      </c:pt>
                      <c:pt idx="44">
                        <c:v>395.01954948481028</c:v>
                      </c:pt>
                      <c:pt idx="45">
                        <c:v>289.6468877718379</c:v>
                      </c:pt>
                      <c:pt idx="46">
                        <c:v>453.52286643300533</c:v>
                      </c:pt>
                      <c:pt idx="47">
                        <c:v>384.21145770686195</c:v>
                      </c:pt>
                      <c:pt idx="48">
                        <c:v>378.75641083670774</c:v>
                      </c:pt>
                    </c:numCache>
                  </c:numRef>
                </c:val>
                <c:extLst>
                  <c:ext xmlns:c16="http://schemas.microsoft.com/office/drawing/2014/chart" uri="{C3380CC4-5D6E-409C-BE32-E72D297353CC}">
                    <c16:uniqueId val="{00000001-183E-49D9-8B9E-B82A63B06E0B}"/>
                  </c:ext>
                </c:extLst>
              </c15:ser>
            </c15:filteredBarSeries>
            <c15:filteredBarSeries>
              <c15:ser>
                <c:idx val="1"/>
                <c:order val="1"/>
                <c:tx>
                  <c:v>2018</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xmlns:c15="http://schemas.microsoft.com/office/drawing/2012/chart">
                      <c:ext xmlns:c15="http://schemas.microsoft.com/office/drawing/2012/chart" uri="{02D57815-91ED-43cb-92C2-25804820EDAC}">
                        <c15:formulaRef>
                          <c15:sqref>'Analisi dati, formula corretta'!$BA$4:$BA$52</c15:sqref>
                        </c15:formulaRef>
                      </c:ext>
                    </c:extLst>
                    <c:numCache>
                      <c:formatCode>#,##0.00</c:formatCode>
                      <c:ptCount val="49"/>
                      <c:pt idx="0">
                        <c:v>419.89</c:v>
                      </c:pt>
                      <c:pt idx="1">
                        <c:v>409.58238022968067</c:v>
                      </c:pt>
                      <c:pt idx="2">
                        <c:v>926.72316513761473</c:v>
                      </c:pt>
                      <c:pt idx="3">
                        <c:v>381.0792815113038</c:v>
                      </c:pt>
                      <c:pt idx="4">
                        <c:v>371</c:v>
                      </c:pt>
                      <c:pt idx="5">
                        <c:v>406.27387996618768</c:v>
                      </c:pt>
                      <c:pt idx="6">
                        <c:v>911.67606915377621</c:v>
                      </c:pt>
                      <c:pt idx="7">
                        <c:v>388.20765449918542</c:v>
                      </c:pt>
                      <c:pt idx="8">
                        <c:v>986.56227461858532</c:v>
                      </c:pt>
                      <c:pt idx="9">
                        <c:v>386.67514957901295</c:v>
                      </c:pt>
                      <c:pt idx="10">
                        <c:v>387.01950587966007</c:v>
                      </c:pt>
                      <c:pt idx="11">
                        <c:v>723.44061520934213</c:v>
                      </c:pt>
                      <c:pt idx="12">
                        <c:v>387.13318284424378</c:v>
                      </c:pt>
                      <c:pt idx="13">
                        <c:v>1019.6104139153898</c:v>
                      </c:pt>
                      <c:pt idx="14">
                        <c:v>988.42664998436032</c:v>
                      </c:pt>
                      <c:pt idx="15">
                        <c:v>387.90872892767277</c:v>
                      </c:pt>
                      <c:pt idx="16">
                        <c:v>394.07139945256534</c:v>
                      </c:pt>
                      <c:pt idx="17">
                        <c:v>367.13450773789924</c:v>
                      </c:pt>
                      <c:pt idx="18">
                        <c:v>298.59904118544347</c:v>
                      </c:pt>
                      <c:pt idx="19">
                        <c:v>411.19435185307179</c:v>
                      </c:pt>
                      <c:pt idx="20">
                        <c:v>386.13351422450734</c:v>
                      </c:pt>
                      <c:pt idx="21">
                        <c:v>247.8819510806058</c:v>
                      </c:pt>
                      <c:pt idx="22">
                        <c:v>231.51000417853015</c:v>
                      </c:pt>
                      <c:pt idx="23">
                        <c:v>268.02066743883017</c:v>
                      </c:pt>
                      <c:pt idx="24">
                        <c:v>319.05597837364905</c:v>
                      </c:pt>
                      <c:pt idx="25">
                        <c:v>406.70106208846397</c:v>
                      </c:pt>
                      <c:pt idx="26">
                        <c:v>409.7043808619257</c:v>
                      </c:pt>
                      <c:pt idx="27">
                        <c:v>226.53597176454846</c:v>
                      </c:pt>
                      <c:pt idx="28">
                        <c:v>402.79823269513992</c:v>
                      </c:pt>
                      <c:pt idx="29">
                        <c:v>264.37665769244217</c:v>
                      </c:pt>
                      <c:pt idx="30">
                        <c:v>385.18648408683117</c:v>
                      </c:pt>
                      <c:pt idx="31">
                        <c:v>346.91898585325868</c:v>
                      </c:pt>
                      <c:pt idx="32">
                        <c:v>1365.3490259504147</c:v>
                      </c:pt>
                      <c:pt idx="33">
                        <c:v>284.14168604159806</c:v>
                      </c:pt>
                      <c:pt idx="34">
                        <c:v>384.19213288507154</c:v>
                      </c:pt>
                      <c:pt idx="35">
                        <c:v>401.87925261907333</c:v>
                      </c:pt>
                      <c:pt idx="36">
                        <c:v>236.84385824673595</c:v>
                      </c:pt>
                      <c:pt idx="37">
                        <c:v>381.55689254338745</c:v>
                      </c:pt>
                      <c:pt idx="38">
                        <c:v>389.48996516680569</c:v>
                      </c:pt>
                      <c:pt idx="39">
                        <c:v>275.68735855156808</c:v>
                      </c:pt>
                      <c:pt idx="40">
                        <c:v>366.7633781033324</c:v>
                      </c:pt>
                      <c:pt idx="41">
                        <c:v>1039.507111940613</c:v>
                      </c:pt>
                      <c:pt idx="42">
                        <c:v>374.89580731984796</c:v>
                      </c:pt>
                      <c:pt idx="43">
                        <c:v>399.3525124299793</c:v>
                      </c:pt>
                      <c:pt idx="44">
                        <c:v>391.54343972989676</c:v>
                      </c:pt>
                      <c:pt idx="45">
                        <c:v>279.38215946467051</c:v>
                      </c:pt>
                      <c:pt idx="46">
                        <c:v>430.55219855054116</c:v>
                      </c:pt>
                      <c:pt idx="47">
                        <c:v>377.37046885271144</c:v>
                      </c:pt>
                      <c:pt idx="48">
                        <c:v>379.23259748048815</c:v>
                      </c:pt>
                    </c:numCache>
                  </c:numRef>
                </c:val>
                <c:extLst xmlns:c15="http://schemas.microsoft.com/office/drawing/2012/chart">
                  <c:ext xmlns:c16="http://schemas.microsoft.com/office/drawing/2014/chart" uri="{C3380CC4-5D6E-409C-BE32-E72D297353CC}">
                    <c16:uniqueId val="{00000002-183E-49D9-8B9E-B82A63B06E0B}"/>
                  </c:ext>
                </c:extLst>
              </c15:ser>
            </c15:filteredBarSeries>
            <c15:filteredBarSeries>
              <c15:ser>
                <c:idx val="2"/>
                <c:order val="2"/>
                <c:tx>
                  <c:v>2019</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xmlns:c15="http://schemas.microsoft.com/office/drawing/2012/chart">
                      <c:ext xmlns:c15="http://schemas.microsoft.com/office/drawing/2012/chart" uri="{02D57815-91ED-43cb-92C2-25804820EDAC}">
                        <c15:formulaRef>
                          <c15:sqref>'Analisi dati, formula corretta'!$BB$4:$BB$52</c15:sqref>
                        </c15:formulaRef>
                      </c:ext>
                    </c:extLst>
                    <c:numCache>
                      <c:formatCode>#,##0.00</c:formatCode>
                      <c:ptCount val="49"/>
                      <c:pt idx="0">
                        <c:v>412.3</c:v>
                      </c:pt>
                      <c:pt idx="1">
                        <c:v>401.07605938585249</c:v>
                      </c:pt>
                      <c:pt idx="2">
                        <c:v>1028.8193651518611</c:v>
                      </c:pt>
                      <c:pt idx="3">
                        <c:v>379.55289765721329</c:v>
                      </c:pt>
                      <c:pt idx="4">
                        <c:v>386</c:v>
                      </c:pt>
                      <c:pt idx="5">
                        <c:v>386.94617563739376</c:v>
                      </c:pt>
                      <c:pt idx="6">
                        <c:v>882.47396630934145</c:v>
                      </c:pt>
                      <c:pt idx="7">
                        <c:v>394.73783455947142</c:v>
                      </c:pt>
                      <c:pt idx="8">
                        <c:v>1020.5023279875841</c:v>
                      </c:pt>
                      <c:pt idx="9">
                        <c:v>380.74424039983046</c:v>
                      </c:pt>
                      <c:pt idx="10">
                        <c:v>383.23726878930313</c:v>
                      </c:pt>
                      <c:pt idx="11">
                        <c:v>709.09307591467052</c:v>
                      </c:pt>
                      <c:pt idx="12">
                        <c:v>381.04020656584288</c:v>
                      </c:pt>
                      <c:pt idx="13">
                        <c:v>987.08187448670208</c:v>
                      </c:pt>
                      <c:pt idx="14">
                        <c:v>996.0972680876614</c:v>
                      </c:pt>
                      <c:pt idx="15">
                        <c:v>393.62834457951203</c:v>
                      </c:pt>
                      <c:pt idx="16">
                        <c:v>389.24523644308124</c:v>
                      </c:pt>
                      <c:pt idx="17">
                        <c:v>368.22433797550036</c:v>
                      </c:pt>
                      <c:pt idx="18">
                        <c:v>297.54750469826683</c:v>
                      </c:pt>
                      <c:pt idx="19">
                        <c:v>398.19853122774254</c:v>
                      </c:pt>
                      <c:pt idx="20">
                        <c:v>380.47284319130461</c:v>
                      </c:pt>
                      <c:pt idx="21">
                        <c:v>249.63268453557146</c:v>
                      </c:pt>
                      <c:pt idx="22">
                        <c:v>226.05266724053357</c:v>
                      </c:pt>
                      <c:pt idx="23">
                        <c:v>264.68753154045896</c:v>
                      </c:pt>
                      <c:pt idx="24">
                        <c:v>322.58963699208357</c:v>
                      </c:pt>
                      <c:pt idx="25">
                        <c:v>404.49073150664435</c:v>
                      </c:pt>
                      <c:pt idx="26">
                        <c:v>400.18382994743166</c:v>
                      </c:pt>
                      <c:pt idx="27">
                        <c:v>232.04161869800376</c:v>
                      </c:pt>
                      <c:pt idx="28">
                        <c:v>406.81818181818181</c:v>
                      </c:pt>
                      <c:pt idx="29">
                        <c:v>258.33805613673258</c:v>
                      </c:pt>
                      <c:pt idx="30">
                        <c:v>387.74340771304918</c:v>
                      </c:pt>
                      <c:pt idx="31">
                        <c:v>321.13423141688719</c:v>
                      </c:pt>
                      <c:pt idx="32">
                        <c:v>1315.3005104421818</c:v>
                      </c:pt>
                      <c:pt idx="33">
                        <c:v>281.32675916457544</c:v>
                      </c:pt>
                      <c:pt idx="34">
                        <c:v>384.49821561750724</c:v>
                      </c:pt>
                      <c:pt idx="35">
                        <c:v>398.94266051179977</c:v>
                      </c:pt>
                      <c:pt idx="36">
                        <c:v>178.69415807560139</c:v>
                      </c:pt>
                      <c:pt idx="37">
                        <c:v>0</c:v>
                      </c:pt>
                      <c:pt idx="38">
                        <c:v>393.45100995441476</c:v>
                      </c:pt>
                      <c:pt idx="39">
                        <c:v>284.46931163106137</c:v>
                      </c:pt>
                      <c:pt idx="40">
                        <c:v>366.21602235710282</c:v>
                      </c:pt>
                      <c:pt idx="41">
                        <c:v>1132.3979192318661</c:v>
                      </c:pt>
                      <c:pt idx="42">
                        <c:v>375.04012195179683</c:v>
                      </c:pt>
                      <c:pt idx="43">
                        <c:v>395.57312030931502</c:v>
                      </c:pt>
                      <c:pt idx="44">
                        <c:v>394.14656750474091</c:v>
                      </c:pt>
                      <c:pt idx="45">
                        <c:v>275.96848677570051</c:v>
                      </c:pt>
                      <c:pt idx="46">
                        <c:v>418.63708571875645</c:v>
                      </c:pt>
                      <c:pt idx="47">
                        <c:v>373.10171461386358</c:v>
                      </c:pt>
                      <c:pt idx="48">
                        <c:v>370.52096486727464</c:v>
                      </c:pt>
                    </c:numCache>
                  </c:numRef>
                </c:val>
                <c:extLst xmlns:c15="http://schemas.microsoft.com/office/drawing/2012/chart">
                  <c:ext xmlns:c16="http://schemas.microsoft.com/office/drawing/2014/chart" uri="{C3380CC4-5D6E-409C-BE32-E72D297353CC}">
                    <c16:uniqueId val="{00000003-183E-49D9-8B9E-B82A63B06E0B}"/>
                  </c:ext>
                </c:extLst>
              </c15:ser>
            </c15:filteredBarSeries>
            <c15:filteredBarSeries>
              <c15:ser>
                <c:idx val="4"/>
                <c:order val="4"/>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xmlns:c15="http://schemas.microsoft.com/office/drawing/2012/chart">
                      <c:ext xmlns:c15="http://schemas.microsoft.com/office/drawing/2012/chart" uri="{02D57815-91ED-43cb-92C2-25804820EDAC}">
                        <c15:formulaRef>
                          <c15:sqref>'Analisi dati, formula corretta'!$BA$3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4-183E-49D9-8B9E-B82A63B06E0B}"/>
                  </c:ext>
                </c:extLst>
              </c15:ser>
            </c15:filteredBarSeries>
            <c15:filteredBarSeries>
              <c15:ser>
                <c:idx val="5"/>
                <c:order val="5"/>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xmlns:c15="http://schemas.microsoft.com/office/drawing/2012/chart">
                      <c:ext xmlns:c15="http://schemas.microsoft.com/office/drawing/2012/chart" uri="{02D57815-91ED-43cb-92C2-25804820EDAC}">
                        <c15:formulaRef>
                          <c15:sqref>'Analisi dati, formula corretta'!$BB$3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5-183E-49D9-8B9E-B82A63B06E0B}"/>
                  </c:ext>
                </c:extLst>
              </c15:ser>
            </c15:filteredBarSeries>
          </c:ext>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specifiche complessive in % di variazione (SOx)</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3"/>
          <c:order val="3"/>
          <c:tx>
            <c:v>Variazioni</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f>'Analisi dati, formula corretta'!$DY$4:$DY$52</c:f>
              <c:numCache>
                <c:formatCode>0.000%</c:formatCode>
                <c:ptCount val="49"/>
                <c:pt idx="0">
                  <c:v>0</c:v>
                </c:pt>
                <c:pt idx="1">
                  <c:v>0</c:v>
                </c:pt>
                <c:pt idx="2">
                  <c:v>0.25062303169992095</c:v>
                </c:pt>
                <c:pt idx="3">
                  <c:v>0</c:v>
                </c:pt>
                <c:pt idx="4">
                  <c:v>-0.30122881355932207</c:v>
                </c:pt>
                <c:pt idx="5">
                  <c:v>-1</c:v>
                </c:pt>
                <c:pt idx="6">
                  <c:v>-0.42486441667442243</c:v>
                </c:pt>
                <c:pt idx="7">
                  <c:v>0</c:v>
                </c:pt>
                <c:pt idx="8">
                  <c:v>-0.12734500503716606</c:v>
                </c:pt>
                <c:pt idx="9">
                  <c:v>0</c:v>
                </c:pt>
                <c:pt idx="10">
                  <c:v>0</c:v>
                </c:pt>
                <c:pt idx="11">
                  <c:v>0</c:v>
                </c:pt>
                <c:pt idx="12">
                  <c:v>-1</c:v>
                </c:pt>
                <c:pt idx="13">
                  <c:v>-0.42843113689683709</c:v>
                </c:pt>
                <c:pt idx="14">
                  <c:v>-0.32117205474534471</c:v>
                </c:pt>
                <c:pt idx="15">
                  <c:v>0</c:v>
                </c:pt>
                <c:pt idx="16">
                  <c:v>0</c:v>
                </c:pt>
                <c:pt idx="17">
                  <c:v>0</c:v>
                </c:pt>
                <c:pt idx="18">
                  <c:v>0</c:v>
                </c:pt>
                <c:pt idx="19">
                  <c:v>0</c:v>
                </c:pt>
                <c:pt idx="20">
                  <c:v>0</c:v>
                </c:pt>
                <c:pt idx="21">
                  <c:v>0</c:v>
                </c:pt>
                <c:pt idx="22">
                  <c:v>0</c:v>
                </c:pt>
                <c:pt idx="23">
                  <c:v>0</c:v>
                </c:pt>
                <c:pt idx="24">
                  <c:v>0</c:v>
                </c:pt>
                <c:pt idx="25">
                  <c:v>0</c:v>
                </c:pt>
                <c:pt idx="26">
                  <c:v>-1</c:v>
                </c:pt>
                <c:pt idx="27">
                  <c:v>0</c:v>
                </c:pt>
                <c:pt idx="28">
                  <c:v>0</c:v>
                </c:pt>
                <c:pt idx="29">
                  <c:v>0</c:v>
                </c:pt>
                <c:pt idx="30">
                  <c:v>0</c:v>
                </c:pt>
                <c:pt idx="31">
                  <c:v>0.35107360792441722</c:v>
                </c:pt>
                <c:pt idx="32">
                  <c:v>0.15116934548503602</c:v>
                </c:pt>
                <c:pt idx="33">
                  <c:v>0</c:v>
                </c:pt>
                <c:pt idx="34">
                  <c:v>0</c:v>
                </c:pt>
                <c:pt idx="35">
                  <c:v>0</c:v>
                </c:pt>
                <c:pt idx="36">
                  <c:v>-0.18111604969786477</c:v>
                </c:pt>
                <c:pt idx="37">
                  <c:v>0</c:v>
                </c:pt>
                <c:pt idx="38">
                  <c:v>0</c:v>
                </c:pt>
                <c:pt idx="39">
                  <c:v>0</c:v>
                </c:pt>
                <c:pt idx="40">
                  <c:v>0</c:v>
                </c:pt>
                <c:pt idx="41">
                  <c:v>-0.60339422885546767</c:v>
                </c:pt>
                <c:pt idx="42">
                  <c:v>0</c:v>
                </c:pt>
                <c:pt idx="43">
                  <c:v>-0.88052820328871428</c:v>
                </c:pt>
                <c:pt idx="44">
                  <c:v>0</c:v>
                </c:pt>
                <c:pt idx="45">
                  <c:v>0</c:v>
                </c:pt>
                <c:pt idx="46">
                  <c:v>0</c:v>
                </c:pt>
                <c:pt idx="47">
                  <c:v>0</c:v>
                </c:pt>
                <c:pt idx="48">
                  <c:v>0</c:v>
                </c:pt>
              </c:numCache>
            </c:numRef>
          </c:val>
          <c:extLst xmlns:c15="http://schemas.microsoft.com/office/drawing/2012/chart">
            <c:ext xmlns:c16="http://schemas.microsoft.com/office/drawing/2014/chart" uri="{C3380CC4-5D6E-409C-BE32-E72D297353CC}">
              <c16:uniqueId val="{00000000-9C7A-4B8D-A50B-1AB833BE2229}"/>
            </c:ext>
          </c:extLst>
        </c:ser>
        <c:dLbls>
          <c:dLblPos val="outEnd"/>
          <c:showLegendKey val="0"/>
          <c:showVal val="1"/>
          <c:showCatName val="0"/>
          <c:showSerName val="0"/>
          <c:showPercent val="0"/>
          <c:showBubbleSize val="0"/>
        </c:dLbls>
        <c:gapWidth val="219"/>
        <c:overlap val="-27"/>
        <c:axId val="55998191"/>
        <c:axId val="55996943"/>
        <c:extLst>
          <c:ext xmlns:c15="http://schemas.microsoft.com/office/drawing/2012/chart" uri="{02D57815-91ED-43cb-92C2-25804820EDAC}">
            <c15:filteredBarSeries>
              <c15:ser>
                <c:idx val="0"/>
                <c:order val="0"/>
                <c:tx>
                  <c:v>2017</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c:ext uri="{02D57815-91ED-43cb-92C2-25804820EDAC}">
                        <c15:formulaRef>
                          <c15:sqref>'Analisi dati, formula corretta'!$AZ$4:$AZ$52</c15:sqref>
                        </c15:formulaRef>
                      </c:ext>
                    </c:extLst>
                    <c:numCache>
                      <c:formatCode>#,##0.00</c:formatCode>
                      <c:ptCount val="49"/>
                      <c:pt idx="0">
                        <c:v>368.88</c:v>
                      </c:pt>
                      <c:pt idx="1">
                        <c:v>405.35909752359856</c:v>
                      </c:pt>
                      <c:pt idx="2">
                        <c:v>881.75829941203074</c:v>
                      </c:pt>
                      <c:pt idx="3">
                        <c:v>388.47824696097251</c:v>
                      </c:pt>
                      <c:pt idx="4">
                        <c:v>371</c:v>
                      </c:pt>
                      <c:pt idx="5">
                        <c:v>388.38532110091745</c:v>
                      </c:pt>
                      <c:pt idx="6">
                        <c:v>904.86689132266213</c:v>
                      </c:pt>
                      <c:pt idx="7">
                        <c:v>395.22230272631839</c:v>
                      </c:pt>
                      <c:pt idx="8">
                        <c:v>976.88275862068963</c:v>
                      </c:pt>
                      <c:pt idx="9">
                        <c:v>386.18599926009006</c:v>
                      </c:pt>
                      <c:pt idx="10">
                        <c:v>391.62999138401415</c:v>
                      </c:pt>
                      <c:pt idx="11">
                        <c:v>704.4110766089583</c:v>
                      </c:pt>
                      <c:pt idx="12">
                        <c:v>382.60635433494883</c:v>
                      </c:pt>
                      <c:pt idx="13">
                        <c:v>1014.2599631450249</c:v>
                      </c:pt>
                      <c:pt idx="14">
                        <c:v>985.69424964936889</c:v>
                      </c:pt>
                      <c:pt idx="15">
                        <c:v>395.39834153132517</c:v>
                      </c:pt>
                      <c:pt idx="16">
                        <c:v>387.4130624931002</c:v>
                      </c:pt>
                      <c:pt idx="17">
                        <c:v>364.17587834891265</c:v>
                      </c:pt>
                      <c:pt idx="18">
                        <c:v>281.57096027767068</c:v>
                      </c:pt>
                      <c:pt idx="19">
                        <c:v>407.69128245998718</c:v>
                      </c:pt>
                      <c:pt idx="20">
                        <c:v>388.47391789206461</c:v>
                      </c:pt>
                      <c:pt idx="21">
                        <c:v>248.44577280114868</c:v>
                      </c:pt>
                      <c:pt idx="22">
                        <c:v>245.27063673896387</c:v>
                      </c:pt>
                      <c:pt idx="23">
                        <c:v>267.09954756699329</c:v>
                      </c:pt>
                      <c:pt idx="24">
                        <c:v>324.73430023149348</c:v>
                      </c:pt>
                      <c:pt idx="25">
                        <c:v>398.48632709749376</c:v>
                      </c:pt>
                      <c:pt idx="26">
                        <c:v>482.20290754824356</c:v>
                      </c:pt>
                      <c:pt idx="27">
                        <c:v>231.55753233807644</c:v>
                      </c:pt>
                      <c:pt idx="28">
                        <c:v>408.46366145354187</c:v>
                      </c:pt>
                      <c:pt idx="29">
                        <c:v>259.06890130353821</c:v>
                      </c:pt>
                      <c:pt idx="30">
                        <c:v>384.98705261351364</c:v>
                      </c:pt>
                      <c:pt idx="31">
                        <c:v>287.65724699772517</c:v>
                      </c:pt>
                      <c:pt idx="32">
                        <c:v>1400.4351729065409</c:v>
                      </c:pt>
                      <c:pt idx="33">
                        <c:v>283.14788261666286</c:v>
                      </c:pt>
                      <c:pt idx="34">
                        <c:v>371.53078595186338</c:v>
                      </c:pt>
                      <c:pt idx="35">
                        <c:v>402.85219937028756</c:v>
                      </c:pt>
                      <c:pt idx="36">
                        <c:v>208.95619422805078</c:v>
                      </c:pt>
                      <c:pt idx="37">
                        <c:v>373.0368682992052</c:v>
                      </c:pt>
                      <c:pt idx="38">
                        <c:v>389.85446136501832</c:v>
                      </c:pt>
                      <c:pt idx="39">
                        <c:v>276.88581081081082</c:v>
                      </c:pt>
                      <c:pt idx="40">
                        <c:v>363.98177657120243</c:v>
                      </c:pt>
                      <c:pt idx="41">
                        <c:v>1068.7291356539076</c:v>
                      </c:pt>
                      <c:pt idx="42">
                        <c:v>371.8029686841416</c:v>
                      </c:pt>
                      <c:pt idx="43">
                        <c:v>415.55262710861052</c:v>
                      </c:pt>
                      <c:pt idx="44">
                        <c:v>395.01954948481028</c:v>
                      </c:pt>
                      <c:pt idx="45">
                        <c:v>289.6468877718379</c:v>
                      </c:pt>
                      <c:pt idx="46">
                        <c:v>453.52286643300533</c:v>
                      </c:pt>
                      <c:pt idx="47">
                        <c:v>384.21145770686195</c:v>
                      </c:pt>
                      <c:pt idx="48">
                        <c:v>378.75641083670774</c:v>
                      </c:pt>
                    </c:numCache>
                  </c:numRef>
                </c:val>
                <c:extLst>
                  <c:ext xmlns:c16="http://schemas.microsoft.com/office/drawing/2014/chart" uri="{C3380CC4-5D6E-409C-BE32-E72D297353CC}">
                    <c16:uniqueId val="{00000001-9C7A-4B8D-A50B-1AB833BE2229}"/>
                  </c:ext>
                </c:extLst>
              </c15:ser>
            </c15:filteredBarSeries>
            <c15:filteredBarSeries>
              <c15:ser>
                <c:idx val="1"/>
                <c:order val="1"/>
                <c:tx>
                  <c:v>2018</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xmlns:c15="http://schemas.microsoft.com/office/drawing/2012/chart">
                      <c:ext xmlns:c15="http://schemas.microsoft.com/office/drawing/2012/chart" uri="{02D57815-91ED-43cb-92C2-25804820EDAC}">
                        <c15:formulaRef>
                          <c15:sqref>'Analisi dati, formula corretta'!$BA$4:$BA$52</c15:sqref>
                        </c15:formulaRef>
                      </c:ext>
                    </c:extLst>
                    <c:numCache>
                      <c:formatCode>#,##0.00</c:formatCode>
                      <c:ptCount val="49"/>
                      <c:pt idx="0">
                        <c:v>419.89</c:v>
                      </c:pt>
                      <c:pt idx="1">
                        <c:v>409.58238022968067</c:v>
                      </c:pt>
                      <c:pt idx="2">
                        <c:v>926.72316513761473</c:v>
                      </c:pt>
                      <c:pt idx="3">
                        <c:v>381.0792815113038</c:v>
                      </c:pt>
                      <c:pt idx="4">
                        <c:v>371</c:v>
                      </c:pt>
                      <c:pt idx="5">
                        <c:v>406.27387996618768</c:v>
                      </c:pt>
                      <c:pt idx="6">
                        <c:v>911.67606915377621</c:v>
                      </c:pt>
                      <c:pt idx="7">
                        <c:v>388.20765449918542</c:v>
                      </c:pt>
                      <c:pt idx="8">
                        <c:v>986.56227461858532</c:v>
                      </c:pt>
                      <c:pt idx="9">
                        <c:v>386.67514957901295</c:v>
                      </c:pt>
                      <c:pt idx="10">
                        <c:v>387.01950587966007</c:v>
                      </c:pt>
                      <c:pt idx="11">
                        <c:v>723.44061520934213</c:v>
                      </c:pt>
                      <c:pt idx="12">
                        <c:v>387.13318284424378</c:v>
                      </c:pt>
                      <c:pt idx="13">
                        <c:v>1019.6104139153898</c:v>
                      </c:pt>
                      <c:pt idx="14">
                        <c:v>988.42664998436032</c:v>
                      </c:pt>
                      <c:pt idx="15">
                        <c:v>387.90872892767277</c:v>
                      </c:pt>
                      <c:pt idx="16">
                        <c:v>394.07139945256534</c:v>
                      </c:pt>
                      <c:pt idx="17">
                        <c:v>367.13450773789924</c:v>
                      </c:pt>
                      <c:pt idx="18">
                        <c:v>298.59904118544347</c:v>
                      </c:pt>
                      <c:pt idx="19">
                        <c:v>411.19435185307179</c:v>
                      </c:pt>
                      <c:pt idx="20">
                        <c:v>386.13351422450734</c:v>
                      </c:pt>
                      <c:pt idx="21">
                        <c:v>247.8819510806058</c:v>
                      </c:pt>
                      <c:pt idx="22">
                        <c:v>231.51000417853015</c:v>
                      </c:pt>
                      <c:pt idx="23">
                        <c:v>268.02066743883017</c:v>
                      </c:pt>
                      <c:pt idx="24">
                        <c:v>319.05597837364905</c:v>
                      </c:pt>
                      <c:pt idx="25">
                        <c:v>406.70106208846397</c:v>
                      </c:pt>
                      <c:pt idx="26">
                        <c:v>409.7043808619257</c:v>
                      </c:pt>
                      <c:pt idx="27">
                        <c:v>226.53597176454846</c:v>
                      </c:pt>
                      <c:pt idx="28">
                        <c:v>402.79823269513992</c:v>
                      </c:pt>
                      <c:pt idx="29">
                        <c:v>264.37665769244217</c:v>
                      </c:pt>
                      <c:pt idx="30">
                        <c:v>385.18648408683117</c:v>
                      </c:pt>
                      <c:pt idx="31">
                        <c:v>346.91898585325868</c:v>
                      </c:pt>
                      <c:pt idx="32">
                        <c:v>1365.3490259504147</c:v>
                      </c:pt>
                      <c:pt idx="33">
                        <c:v>284.14168604159806</c:v>
                      </c:pt>
                      <c:pt idx="34">
                        <c:v>384.19213288507154</c:v>
                      </c:pt>
                      <c:pt idx="35">
                        <c:v>401.87925261907333</c:v>
                      </c:pt>
                      <c:pt idx="36">
                        <c:v>236.84385824673595</c:v>
                      </c:pt>
                      <c:pt idx="37">
                        <c:v>381.55689254338745</c:v>
                      </c:pt>
                      <c:pt idx="38">
                        <c:v>389.48996516680569</c:v>
                      </c:pt>
                      <c:pt idx="39">
                        <c:v>275.68735855156808</c:v>
                      </c:pt>
                      <c:pt idx="40">
                        <c:v>366.7633781033324</c:v>
                      </c:pt>
                      <c:pt idx="41">
                        <c:v>1039.507111940613</c:v>
                      </c:pt>
                      <c:pt idx="42">
                        <c:v>374.89580731984796</c:v>
                      </c:pt>
                      <c:pt idx="43">
                        <c:v>399.3525124299793</c:v>
                      </c:pt>
                      <c:pt idx="44">
                        <c:v>391.54343972989676</c:v>
                      </c:pt>
                      <c:pt idx="45">
                        <c:v>279.38215946467051</c:v>
                      </c:pt>
                      <c:pt idx="46">
                        <c:v>430.55219855054116</c:v>
                      </c:pt>
                      <c:pt idx="47">
                        <c:v>377.37046885271144</c:v>
                      </c:pt>
                      <c:pt idx="48">
                        <c:v>379.23259748048815</c:v>
                      </c:pt>
                    </c:numCache>
                  </c:numRef>
                </c:val>
                <c:extLst xmlns:c15="http://schemas.microsoft.com/office/drawing/2012/chart">
                  <c:ext xmlns:c16="http://schemas.microsoft.com/office/drawing/2014/chart" uri="{C3380CC4-5D6E-409C-BE32-E72D297353CC}">
                    <c16:uniqueId val="{00000002-9C7A-4B8D-A50B-1AB833BE2229}"/>
                  </c:ext>
                </c:extLst>
              </c15:ser>
            </c15:filteredBarSeries>
            <c15:filteredBarSeries>
              <c15:ser>
                <c:idx val="2"/>
                <c:order val="2"/>
                <c:tx>
                  <c:v>2019</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xmlns:c15="http://schemas.microsoft.com/office/drawing/2012/chart">
                      <c:ext xmlns:c15="http://schemas.microsoft.com/office/drawing/2012/chart" uri="{02D57815-91ED-43cb-92C2-25804820EDAC}">
                        <c15:formulaRef>
                          <c15:sqref>'Analisi dati, formula corretta'!$BB$4:$BB$52</c15:sqref>
                        </c15:formulaRef>
                      </c:ext>
                    </c:extLst>
                    <c:numCache>
                      <c:formatCode>#,##0.00</c:formatCode>
                      <c:ptCount val="49"/>
                      <c:pt idx="0">
                        <c:v>412.3</c:v>
                      </c:pt>
                      <c:pt idx="1">
                        <c:v>401.07605938585249</c:v>
                      </c:pt>
                      <c:pt idx="2">
                        <c:v>1028.8193651518611</c:v>
                      </c:pt>
                      <c:pt idx="3">
                        <c:v>379.55289765721329</c:v>
                      </c:pt>
                      <c:pt idx="4">
                        <c:v>386</c:v>
                      </c:pt>
                      <c:pt idx="5">
                        <c:v>386.94617563739376</c:v>
                      </c:pt>
                      <c:pt idx="6">
                        <c:v>882.47396630934145</c:v>
                      </c:pt>
                      <c:pt idx="7">
                        <c:v>394.73783455947142</c:v>
                      </c:pt>
                      <c:pt idx="8">
                        <c:v>1020.5023279875841</c:v>
                      </c:pt>
                      <c:pt idx="9">
                        <c:v>380.74424039983046</c:v>
                      </c:pt>
                      <c:pt idx="10">
                        <c:v>383.23726878930313</c:v>
                      </c:pt>
                      <c:pt idx="11">
                        <c:v>709.09307591467052</c:v>
                      </c:pt>
                      <c:pt idx="12">
                        <c:v>381.04020656584288</c:v>
                      </c:pt>
                      <c:pt idx="13">
                        <c:v>987.08187448670208</c:v>
                      </c:pt>
                      <c:pt idx="14">
                        <c:v>996.0972680876614</c:v>
                      </c:pt>
                      <c:pt idx="15">
                        <c:v>393.62834457951203</c:v>
                      </c:pt>
                      <c:pt idx="16">
                        <c:v>389.24523644308124</c:v>
                      </c:pt>
                      <c:pt idx="17">
                        <c:v>368.22433797550036</c:v>
                      </c:pt>
                      <c:pt idx="18">
                        <c:v>297.54750469826683</c:v>
                      </c:pt>
                      <c:pt idx="19">
                        <c:v>398.19853122774254</c:v>
                      </c:pt>
                      <c:pt idx="20">
                        <c:v>380.47284319130461</c:v>
                      </c:pt>
                      <c:pt idx="21">
                        <c:v>249.63268453557146</c:v>
                      </c:pt>
                      <c:pt idx="22">
                        <c:v>226.05266724053357</c:v>
                      </c:pt>
                      <c:pt idx="23">
                        <c:v>264.68753154045896</c:v>
                      </c:pt>
                      <c:pt idx="24">
                        <c:v>322.58963699208357</c:v>
                      </c:pt>
                      <c:pt idx="25">
                        <c:v>404.49073150664435</c:v>
                      </c:pt>
                      <c:pt idx="26">
                        <c:v>400.18382994743166</c:v>
                      </c:pt>
                      <c:pt idx="27">
                        <c:v>232.04161869800376</c:v>
                      </c:pt>
                      <c:pt idx="28">
                        <c:v>406.81818181818181</c:v>
                      </c:pt>
                      <c:pt idx="29">
                        <c:v>258.33805613673258</c:v>
                      </c:pt>
                      <c:pt idx="30">
                        <c:v>387.74340771304918</c:v>
                      </c:pt>
                      <c:pt idx="31">
                        <c:v>321.13423141688719</c:v>
                      </c:pt>
                      <c:pt idx="32">
                        <c:v>1315.3005104421818</c:v>
                      </c:pt>
                      <c:pt idx="33">
                        <c:v>281.32675916457544</c:v>
                      </c:pt>
                      <c:pt idx="34">
                        <c:v>384.49821561750724</c:v>
                      </c:pt>
                      <c:pt idx="35">
                        <c:v>398.94266051179977</c:v>
                      </c:pt>
                      <c:pt idx="36">
                        <c:v>178.69415807560139</c:v>
                      </c:pt>
                      <c:pt idx="37">
                        <c:v>0</c:v>
                      </c:pt>
                      <c:pt idx="38">
                        <c:v>393.45100995441476</c:v>
                      </c:pt>
                      <c:pt idx="39">
                        <c:v>284.46931163106137</c:v>
                      </c:pt>
                      <c:pt idx="40">
                        <c:v>366.21602235710282</c:v>
                      </c:pt>
                      <c:pt idx="41">
                        <c:v>1132.3979192318661</c:v>
                      </c:pt>
                      <c:pt idx="42">
                        <c:v>375.04012195179683</c:v>
                      </c:pt>
                      <c:pt idx="43">
                        <c:v>395.57312030931502</c:v>
                      </c:pt>
                      <c:pt idx="44">
                        <c:v>394.14656750474091</c:v>
                      </c:pt>
                      <c:pt idx="45">
                        <c:v>275.96848677570051</c:v>
                      </c:pt>
                      <c:pt idx="46">
                        <c:v>418.63708571875645</c:v>
                      </c:pt>
                      <c:pt idx="47">
                        <c:v>373.10171461386358</c:v>
                      </c:pt>
                      <c:pt idx="48">
                        <c:v>370.52096486727464</c:v>
                      </c:pt>
                    </c:numCache>
                  </c:numRef>
                </c:val>
                <c:extLst xmlns:c15="http://schemas.microsoft.com/office/drawing/2012/chart">
                  <c:ext xmlns:c16="http://schemas.microsoft.com/office/drawing/2014/chart" uri="{C3380CC4-5D6E-409C-BE32-E72D297353CC}">
                    <c16:uniqueId val="{00000003-9C7A-4B8D-A50B-1AB833BE2229}"/>
                  </c:ext>
                </c:extLst>
              </c15:ser>
            </c15:filteredBarSeries>
            <c15:filteredBarSeries>
              <c15:ser>
                <c:idx val="4"/>
                <c:order val="4"/>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xmlns:c15="http://schemas.microsoft.com/office/drawing/2012/chart">
                      <c:ext xmlns:c15="http://schemas.microsoft.com/office/drawing/2012/chart" uri="{02D57815-91ED-43cb-92C2-25804820EDAC}">
                        <c15:formulaRef>
                          <c15:sqref>'Analisi dati, formula corretta'!$BA$3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4-9C7A-4B8D-A50B-1AB833BE2229}"/>
                  </c:ext>
                </c:extLst>
              </c15:ser>
            </c15:filteredBarSeries>
            <c15:filteredBarSeries>
              <c15:ser>
                <c:idx val="5"/>
                <c:order val="5"/>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extLst xmlns:c15="http://schemas.microsoft.com/office/drawing/2012/chart">
                      <c:ext xmlns:c15="http://schemas.microsoft.com/office/drawing/2012/chart" uri="{02D57815-91ED-43cb-92C2-25804820EDAC}">
                        <c15:formulaRef>
                          <c15:sqref>'Analisi dati, formula corretta'!$BB$3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5-9C7A-4B8D-A50B-1AB833BE2229}"/>
                  </c:ext>
                </c:extLst>
              </c15:ser>
            </c15:filteredBarSeries>
          </c:ext>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Emissioni massiche totali</a:t>
            </a:r>
            <a:r>
              <a:rPr lang="it-IT" baseline="0"/>
              <a:t> annue in tonnellate (CO</a:t>
            </a:r>
            <a:r>
              <a:rPr lang="it-IT" baseline="-25000"/>
              <a:t>2</a:t>
            </a:r>
            <a:r>
              <a:rPr lang="it-IT" baseline="0"/>
              <a:t>)</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8"/>
          <c:order val="0"/>
          <c:tx>
            <c:v>2011</c:v>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corretta'!$AK$53</c:f>
              <c:numCache>
                <c:formatCode>#,##0.00</c:formatCode>
                <c:ptCount val="1"/>
                <c:pt idx="0">
                  <c:v>60615174.740999997</c:v>
                </c:pt>
              </c:numCache>
            </c:numRef>
          </c:val>
          <c:extLst>
            <c:ext xmlns:c16="http://schemas.microsoft.com/office/drawing/2014/chart" uri="{C3380CC4-5D6E-409C-BE32-E72D297353CC}">
              <c16:uniqueId val="{00000000-149F-4ECD-812B-1201308D1C3B}"/>
            </c:ext>
          </c:extLst>
        </c:ser>
        <c:ser>
          <c:idx val="0"/>
          <c:order val="1"/>
          <c:tx>
            <c:v>2012</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corretta'!$AL$53</c:f>
              <c:numCache>
                <c:formatCode>#,##0.00</c:formatCode>
                <c:ptCount val="1"/>
                <c:pt idx="0">
                  <c:v>58758121.656000003</c:v>
                </c:pt>
              </c:numCache>
            </c:numRef>
          </c:val>
          <c:extLst>
            <c:ext xmlns:c16="http://schemas.microsoft.com/office/drawing/2014/chart" uri="{C3380CC4-5D6E-409C-BE32-E72D297353CC}">
              <c16:uniqueId val="{00000001-149F-4ECD-812B-1201308D1C3B}"/>
            </c:ext>
          </c:extLst>
        </c:ser>
        <c:ser>
          <c:idx val="1"/>
          <c:order val="2"/>
          <c:tx>
            <c:v>2013</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corretta'!$AM$53</c:f>
              <c:numCache>
                <c:formatCode>#,##0.00</c:formatCode>
                <c:ptCount val="1"/>
                <c:pt idx="0">
                  <c:v>56889181.191</c:v>
                </c:pt>
              </c:numCache>
            </c:numRef>
          </c:val>
          <c:extLst>
            <c:ext xmlns:c16="http://schemas.microsoft.com/office/drawing/2014/chart" uri="{C3380CC4-5D6E-409C-BE32-E72D297353CC}">
              <c16:uniqueId val="{00000002-149F-4ECD-812B-1201308D1C3B}"/>
            </c:ext>
          </c:extLst>
        </c:ser>
        <c:ser>
          <c:idx val="2"/>
          <c:order val="3"/>
          <c:tx>
            <c:v>2014</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corretta'!$AN$53</c:f>
              <c:numCache>
                <c:formatCode>#,##0.00</c:formatCode>
                <c:ptCount val="1"/>
                <c:pt idx="0">
                  <c:v>50270315.651000001</c:v>
                </c:pt>
              </c:numCache>
            </c:numRef>
          </c:val>
          <c:extLst>
            <c:ext xmlns:c16="http://schemas.microsoft.com/office/drawing/2014/chart" uri="{C3380CC4-5D6E-409C-BE32-E72D297353CC}">
              <c16:uniqueId val="{00000003-149F-4ECD-812B-1201308D1C3B}"/>
            </c:ext>
          </c:extLst>
        </c:ser>
        <c:ser>
          <c:idx val="3"/>
          <c:order val="4"/>
          <c:tx>
            <c:v>2015</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corretta'!$AO$53</c:f>
              <c:numCache>
                <c:formatCode>#,##0.00</c:formatCode>
                <c:ptCount val="1"/>
                <c:pt idx="0">
                  <c:v>50568060.956</c:v>
                </c:pt>
              </c:numCache>
            </c:numRef>
          </c:val>
          <c:extLst>
            <c:ext xmlns:c16="http://schemas.microsoft.com/office/drawing/2014/chart" uri="{C3380CC4-5D6E-409C-BE32-E72D297353CC}">
              <c16:uniqueId val="{00000004-149F-4ECD-812B-1201308D1C3B}"/>
            </c:ext>
          </c:extLst>
        </c:ser>
        <c:ser>
          <c:idx val="4"/>
          <c:order val="5"/>
          <c:tx>
            <c:v>2016</c:v>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corretta'!$AP$53</c:f>
              <c:numCache>
                <c:formatCode>#,##0.00</c:formatCode>
                <c:ptCount val="1"/>
                <c:pt idx="0">
                  <c:v>55355608.759000003</c:v>
                </c:pt>
              </c:numCache>
            </c:numRef>
          </c:val>
          <c:extLst>
            <c:ext xmlns:c16="http://schemas.microsoft.com/office/drawing/2014/chart" uri="{C3380CC4-5D6E-409C-BE32-E72D297353CC}">
              <c16:uniqueId val="{00000005-149F-4ECD-812B-1201308D1C3B}"/>
            </c:ext>
          </c:extLst>
        </c:ser>
        <c:ser>
          <c:idx val="5"/>
          <c:order val="6"/>
          <c:tx>
            <c:v>2017</c:v>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corretta'!$AQ$53</c:f>
              <c:numCache>
                <c:formatCode>#,##0.00</c:formatCode>
                <c:ptCount val="1"/>
                <c:pt idx="0">
                  <c:v>54967171.090000004</c:v>
                </c:pt>
              </c:numCache>
            </c:numRef>
          </c:val>
          <c:extLst>
            <c:ext xmlns:c16="http://schemas.microsoft.com/office/drawing/2014/chart" uri="{C3380CC4-5D6E-409C-BE32-E72D297353CC}">
              <c16:uniqueId val="{00000006-149F-4ECD-812B-1201308D1C3B}"/>
            </c:ext>
          </c:extLst>
        </c:ser>
        <c:ser>
          <c:idx val="6"/>
          <c:order val="7"/>
          <c:tx>
            <c:v>2018</c:v>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corretta'!$AR$53</c:f>
              <c:numCache>
                <c:formatCode>#,##0.00</c:formatCode>
                <c:ptCount val="1"/>
                <c:pt idx="0">
                  <c:v>49597822.799999997</c:v>
                </c:pt>
              </c:numCache>
            </c:numRef>
          </c:val>
          <c:extLst>
            <c:ext xmlns:c16="http://schemas.microsoft.com/office/drawing/2014/chart" uri="{C3380CC4-5D6E-409C-BE32-E72D297353CC}">
              <c16:uniqueId val="{00000007-149F-4ECD-812B-1201308D1C3B}"/>
            </c:ext>
          </c:extLst>
        </c:ser>
        <c:ser>
          <c:idx val="7"/>
          <c:order val="8"/>
          <c:tx>
            <c:v>2019</c:v>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corretta'!$AS$53</c:f>
              <c:numCache>
                <c:formatCode>#,##0.00</c:formatCode>
                <c:ptCount val="1"/>
                <c:pt idx="0">
                  <c:v>45128192.57</c:v>
                </c:pt>
              </c:numCache>
            </c:numRef>
          </c:val>
          <c:extLst>
            <c:ext xmlns:c16="http://schemas.microsoft.com/office/drawing/2014/chart" uri="{C3380CC4-5D6E-409C-BE32-E72D297353CC}">
              <c16:uniqueId val="{00000008-149F-4ECD-812B-1201308D1C3B}"/>
            </c:ext>
          </c:extLst>
        </c:ser>
        <c:dLbls>
          <c:dLblPos val="outEnd"/>
          <c:showLegendKey val="0"/>
          <c:showVal val="1"/>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delle centrali a ciclo combinato (CO</a:t>
            </a:r>
            <a:r>
              <a:rPr lang="it-IT" baseline="-25000"/>
              <a:t>2</a:t>
            </a:r>
            <a:r>
              <a:rPr lang="it-IT" baseline="0"/>
              <a:t>)</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0"/>
          <c:order val="0"/>
          <c:tx>
            <c:v>2011</c:v>
          </c:tx>
          <c:spPr>
            <a:solidFill>
              <a:schemeClr val="accent1"/>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corretta'!$AT$4:$AT$52</c15:sqref>
                  </c15:fullRef>
                </c:ext>
              </c:extLst>
              <c:f>('Analisi dati, formula corretta'!$AT$4,'Analisi dati, formula corretta'!$AT$7,'Analisi dati, formula corretta'!$AT$9,'Analisi dati, formula corretta'!$AT$11,'Analisi dati, formula corretta'!$AT$13:$AT$16,'Analisi dati, formula corretta'!$AT$19:$AT$21,'Analisi dati, formula corretta'!$AT$23:$AT$24,'Analisi dati, formula corretta'!$AT$29:$AT$30,'Analisi dati, formula corretta'!$AT$32,'Analisi dati, formula corretta'!$AT$34,'Analisi dati, formula corretta'!$AT$38:$AT$39,'Analisi dati, formula corretta'!$AT$41:$AT$42,'Analisi dati, formula corretta'!$AT$46,'Analisi dati, formula corretta'!$AT$48,'Analisi dati, formula corretta'!$AT$51)</c:f>
              <c:numCache>
                <c:formatCode>#,##0.00</c:formatCode>
                <c:ptCount val="24"/>
                <c:pt idx="0">
                  <c:v>381.92663286609007</c:v>
                </c:pt>
                <c:pt idx="1">
                  <c:v>406.34291377601585</c:v>
                </c:pt>
                <c:pt idx="2">
                  <c:v>398</c:v>
                </c:pt>
                <c:pt idx="3">
                  <c:v>398.33742556691772</c:v>
                </c:pt>
                <c:pt idx="4">
                  <c:v>384.75025484199796</c:v>
                </c:pt>
                <c:pt idx="5">
                  <c:v>387.02928870292885</c:v>
                </c:pt>
                <c:pt idx="6">
                  <c:v>751.31480090157777</c:v>
                </c:pt>
                <c:pt idx="7">
                  <c:v>389.35108153078204</c:v>
                </c:pt>
                <c:pt idx="8">
                  <c:v>384.58387329013681</c:v>
                </c:pt>
                <c:pt idx="9">
                  <c:v>389.32013574660635</c:v>
                </c:pt>
                <c:pt idx="10">
                  <c:v>380.98257432951976</c:v>
                </c:pt>
                <c:pt idx="11">
                  <c:v>394.54926705250261</c:v>
                </c:pt>
                <c:pt idx="12">
                  <c:v>405.65297962293738</c:v>
                </c:pt>
                <c:pt idx="13">
                  <c:v>391.48358906078278</c:v>
                </c:pt>
                <c:pt idx="14">
                  <c:v>400.83660683805891</c:v>
                </c:pt>
                <c:pt idx="15">
                  <c:v>392.9733246584255</c:v>
                </c:pt>
                <c:pt idx="16">
                  <c:v>379.99891468504126</c:v>
                </c:pt>
                <c:pt idx="17">
                  <c:v>365.89775012356381</c:v>
                </c:pt>
                <c:pt idx="18">
                  <c:v>398.16100188855279</c:v>
                </c:pt>
                <c:pt idx="19">
                  <c:v>366.73473163444999</c:v>
                </c:pt>
                <c:pt idx="20">
                  <c:v>375.29272226719524</c:v>
                </c:pt>
                <c:pt idx="21">
                  <c:v>381.55347709675084</c:v>
                </c:pt>
                <c:pt idx="22">
                  <c:v>0</c:v>
                </c:pt>
                <c:pt idx="23">
                  <c:v>0</c:v>
                </c:pt>
              </c:numCache>
            </c:numRef>
          </c:val>
          <c:extLst>
            <c:ext xmlns:c16="http://schemas.microsoft.com/office/drawing/2014/chart" uri="{C3380CC4-5D6E-409C-BE32-E72D297353CC}">
              <c16:uniqueId val="{00000001-76C9-4FC5-913E-0BA75AED5DF8}"/>
            </c:ext>
          </c:extLst>
        </c:ser>
        <c:ser>
          <c:idx val="1"/>
          <c:order val="1"/>
          <c:tx>
            <c:v>2012</c:v>
          </c:tx>
          <c:spPr>
            <a:solidFill>
              <a:schemeClr val="accent2"/>
            </a:solidFill>
            <a:ln>
              <a:noFill/>
            </a:ln>
            <a:effectLst/>
          </c:spPr>
          <c:invertIfNegative val="0"/>
          <c:cat>
            <c:strLit>
              <c:ptCount val="24"/>
              <c:pt idx="0">
                <c:v>1,00</c:v>
              </c:pt>
              <c:pt idx="1">
                <c:v>4,00</c:v>
              </c:pt>
              <c:pt idx="2">
                <c:v>6,00</c:v>
              </c:pt>
              <c:pt idx="3">
                <c:v>8,00</c:v>
              </c:pt>
              <c:pt idx="4">
                <c:v>10,00</c:v>
              </c:pt>
              <c:pt idx="5">
                <c:v>11,00</c:v>
              </c:pt>
              <c:pt idx="6">
                <c:v>12,00</c:v>
              </c:pt>
              <c:pt idx="7">
                <c:v>13,00</c:v>
              </c:pt>
              <c:pt idx="8">
                <c:v>16,00</c:v>
              </c:pt>
              <c:pt idx="9">
                <c:v>17,00</c:v>
              </c:pt>
              <c:pt idx="10">
                <c:v>18,00</c:v>
              </c:pt>
              <c:pt idx="11">
                <c:v>20,00</c:v>
              </c:pt>
              <c:pt idx="12">
                <c:v>21,00</c:v>
              </c:pt>
              <c:pt idx="13">
                <c:v>26,00</c:v>
              </c:pt>
              <c:pt idx="14">
                <c:v>27,00</c:v>
              </c:pt>
              <c:pt idx="15">
                <c:v>29,00</c:v>
              </c:pt>
              <c:pt idx="16">
                <c:v>31,00</c:v>
              </c:pt>
              <c:pt idx="17">
                <c:v>35,00</c:v>
              </c:pt>
              <c:pt idx="18">
                <c:v>36,00</c:v>
              </c:pt>
              <c:pt idx="19">
                <c:v>38,00</c:v>
              </c:pt>
              <c:pt idx="20">
                <c:v>39,00</c:v>
              </c:pt>
              <c:pt idx="21">
                <c:v>43,00</c:v>
              </c:pt>
              <c:pt idx="22">
                <c:v>45,00</c:v>
              </c:pt>
              <c:pt idx="23">
                <c:v>48,00</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corretta'!$AU$4:$AU$52</c15:sqref>
                  </c15:fullRef>
                </c:ext>
              </c:extLst>
              <c:f>('Analisi dati, formula corretta'!$AU$4,'Analisi dati, formula corretta'!$AU$7,'Analisi dati, formula corretta'!$AU$9,'Analisi dati, formula corretta'!$AU$11,'Analisi dati, formula corretta'!$AU$13:$AU$16,'Analisi dati, formula corretta'!$AU$19:$AU$21,'Analisi dati, formula corretta'!$AU$23:$AU$24,'Analisi dati, formula corretta'!$AU$29:$AU$30,'Analisi dati, formula corretta'!$AU$32,'Analisi dati, formula corretta'!$AU$34,'Analisi dati, formula corretta'!$AU$38:$AU$39,'Analisi dati, formula corretta'!$AU$41:$AU$42,'Analisi dati, formula corretta'!$AU$46,'Analisi dati, formula corretta'!$AU$48,'Analisi dati, formula corretta'!$AU$51)</c:f>
              <c:numCache>
                <c:formatCode>#,##0.00</c:formatCode>
                <c:ptCount val="24"/>
                <c:pt idx="0">
                  <c:v>393.78061282606222</c:v>
                </c:pt>
                <c:pt idx="1">
                  <c:v>408.03108808290153</c:v>
                </c:pt>
                <c:pt idx="2">
                  <c:v>398</c:v>
                </c:pt>
                <c:pt idx="3">
                  <c:v>406.39933502584518</c:v>
                </c:pt>
                <c:pt idx="4">
                  <c:v>389.98380323935214</c:v>
                </c:pt>
                <c:pt idx="5">
                  <c:v>388.20512820512823</c:v>
                </c:pt>
                <c:pt idx="6">
                  <c:v>761.28177294066222</c:v>
                </c:pt>
                <c:pt idx="7">
                  <c:v>566.6774297707459</c:v>
                </c:pt>
                <c:pt idx="8">
                  <c:v>387.529689608637</c:v>
                </c:pt>
                <c:pt idx="9">
                  <c:v>388.9325657894737</c:v>
                </c:pt>
                <c:pt idx="10">
                  <c:v>371.0894385149283</c:v>
                </c:pt>
                <c:pt idx="11">
                  <c:v>403.74325240148761</c:v>
                </c:pt>
                <c:pt idx="12">
                  <c:v>445.0462920074765</c:v>
                </c:pt>
                <c:pt idx="13">
                  <c:v>392.20848819174154</c:v>
                </c:pt>
                <c:pt idx="14">
                  <c:v>423.24013624751638</c:v>
                </c:pt>
                <c:pt idx="15">
                  <c:v>390.85545722713863</c:v>
                </c:pt>
                <c:pt idx="16">
                  <c:v>375.19897366593415</c:v>
                </c:pt>
                <c:pt idx="17">
                  <c:v>376.24064350988806</c:v>
                </c:pt>
                <c:pt idx="18">
                  <c:v>403.02083379243783</c:v>
                </c:pt>
                <c:pt idx="19">
                  <c:v>370.71537105695012</c:v>
                </c:pt>
                <c:pt idx="20">
                  <c:v>376.02880658436214</c:v>
                </c:pt>
                <c:pt idx="21">
                  <c:v>381.69719293502749</c:v>
                </c:pt>
                <c:pt idx="22">
                  <c:v>0</c:v>
                </c:pt>
                <c:pt idx="23">
                  <c:v>370.4</c:v>
                </c:pt>
              </c:numCache>
            </c:numRef>
          </c:val>
          <c:extLst>
            <c:ext xmlns:c16="http://schemas.microsoft.com/office/drawing/2014/chart" uri="{C3380CC4-5D6E-409C-BE32-E72D297353CC}">
              <c16:uniqueId val="{00000002-76C9-4FC5-913E-0BA75AED5DF8}"/>
            </c:ext>
          </c:extLst>
        </c:ser>
        <c:ser>
          <c:idx val="2"/>
          <c:order val="2"/>
          <c:tx>
            <c:v>2013</c:v>
          </c:tx>
          <c:spPr>
            <a:solidFill>
              <a:schemeClr val="accent3"/>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corretta'!$AV$4:$AV$52</c15:sqref>
                  </c15:fullRef>
                </c:ext>
              </c:extLst>
              <c:f>('Analisi dati, formula corretta'!$AV$4,'Analisi dati, formula corretta'!$AV$7,'Analisi dati, formula corretta'!$AV$9,'Analisi dati, formula corretta'!$AV$11,'Analisi dati, formula corretta'!$AV$13:$AV$16,'Analisi dati, formula corretta'!$AV$19:$AV$21,'Analisi dati, formula corretta'!$AV$23:$AV$24,'Analisi dati, formula corretta'!$AV$29:$AV$30,'Analisi dati, formula corretta'!$AV$32,'Analisi dati, formula corretta'!$AV$34,'Analisi dati, formula corretta'!$AV$38:$AV$39,'Analisi dati, formula corretta'!$AV$41:$AV$42,'Analisi dati, formula corretta'!$AV$46,'Analisi dati, formula corretta'!$AV$48,'Analisi dati, formula corretta'!$AV$51)</c:f>
              <c:numCache>
                <c:formatCode>#,##0.00</c:formatCode>
                <c:ptCount val="24"/>
                <c:pt idx="0">
                  <c:v>441.29258663547301</c:v>
                </c:pt>
                <c:pt idx="1">
                  <c:v>386.63282571912015</c:v>
                </c:pt>
                <c:pt idx="2">
                  <c:v>404.94865017116609</c:v>
                </c:pt>
                <c:pt idx="3">
                  <c:v>414.78737518950584</c:v>
                </c:pt>
                <c:pt idx="4">
                  <c:v>396.79809976247031</c:v>
                </c:pt>
                <c:pt idx="5">
                  <c:v>0</c:v>
                </c:pt>
                <c:pt idx="6">
                  <c:v>714.40168858580932</c:v>
                </c:pt>
                <c:pt idx="7">
                  <c:v>393.23990107172301</c:v>
                </c:pt>
                <c:pt idx="8">
                  <c:v>426.89509752240383</c:v>
                </c:pt>
                <c:pt idx="9">
                  <c:v>402.52884615384613</c:v>
                </c:pt>
                <c:pt idx="10">
                  <c:v>379.66920346248338</c:v>
                </c:pt>
                <c:pt idx="11">
                  <c:v>397.603257139498</c:v>
                </c:pt>
                <c:pt idx="12">
                  <c:v>450.12983205595344</c:v>
                </c:pt>
                <c:pt idx="13">
                  <c:v>415.98678846483415</c:v>
                </c:pt>
                <c:pt idx="14">
                  <c:v>469.45583122688157</c:v>
                </c:pt>
                <c:pt idx="15">
                  <c:v>409.65517241379308</c:v>
                </c:pt>
                <c:pt idx="16">
                  <c:v>387.32541865097852</c:v>
                </c:pt>
                <c:pt idx="17">
                  <c:v>375.18107486292996</c:v>
                </c:pt>
                <c:pt idx="18">
                  <c:v>415.15270223118438</c:v>
                </c:pt>
                <c:pt idx="19">
                  <c:v>393.31920773836941</c:v>
                </c:pt>
                <c:pt idx="20">
                  <c:v>406.11182041793796</c:v>
                </c:pt>
                <c:pt idx="21">
                  <c:v>389.3135345666991</c:v>
                </c:pt>
                <c:pt idx="22">
                  <c:v>396.4040315512708</c:v>
                </c:pt>
                <c:pt idx="23">
                  <c:v>365.8</c:v>
                </c:pt>
              </c:numCache>
            </c:numRef>
          </c:val>
          <c:extLst>
            <c:ext xmlns:c16="http://schemas.microsoft.com/office/drawing/2014/chart" uri="{C3380CC4-5D6E-409C-BE32-E72D297353CC}">
              <c16:uniqueId val="{00000003-76C9-4FC5-913E-0BA75AED5DF8}"/>
            </c:ext>
          </c:extLst>
        </c:ser>
        <c:ser>
          <c:idx val="3"/>
          <c:order val="3"/>
          <c:tx>
            <c:v>2014</c:v>
          </c:tx>
          <c:spPr>
            <a:solidFill>
              <a:schemeClr val="accent4"/>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corretta'!$AW$4:$AW$52</c15:sqref>
                  </c15:fullRef>
                </c:ext>
              </c:extLst>
              <c:f>('Analisi dati, formula corretta'!$AW$4,'Analisi dati, formula corretta'!$AW$7,'Analisi dati, formula corretta'!$AW$9,'Analisi dati, formula corretta'!$AW$11,'Analisi dati, formula corretta'!$AW$13:$AW$16,'Analisi dati, formula corretta'!$AW$19:$AW$21,'Analisi dati, formula corretta'!$AW$23:$AW$24,'Analisi dati, formula corretta'!$AW$29:$AW$30,'Analisi dati, formula corretta'!$AW$32,'Analisi dati, formula corretta'!$AW$34,'Analisi dati, formula corretta'!$AW$38:$AW$39,'Analisi dati, formula corretta'!$AW$41:$AW$42,'Analisi dati, formula corretta'!$AW$46,'Analisi dati, formula corretta'!$AW$48,'Analisi dati, formula corretta'!$AW$51)</c:f>
              <c:numCache>
                <c:formatCode>#,##0.00</c:formatCode>
                <c:ptCount val="24"/>
                <c:pt idx="0">
                  <c:v>457.22336065573774</c:v>
                </c:pt>
                <c:pt idx="1">
                  <c:v>402.71966527196651</c:v>
                </c:pt>
                <c:pt idx="2">
                  <c:v>409</c:v>
                </c:pt>
                <c:pt idx="3">
                  <c:v>447.57613394060508</c:v>
                </c:pt>
                <c:pt idx="4">
                  <c:v>414.22955974842768</c:v>
                </c:pt>
                <c:pt idx="5">
                  <c:v>0</c:v>
                </c:pt>
                <c:pt idx="6">
                  <c:v>666.43130005672595</c:v>
                </c:pt>
                <c:pt idx="7">
                  <c:v>404.71380471380473</c:v>
                </c:pt>
                <c:pt idx="8">
                  <c:v>456.04920405209845</c:v>
                </c:pt>
                <c:pt idx="9">
                  <c:v>435.42156862745099</c:v>
                </c:pt>
                <c:pt idx="10">
                  <c:v>375.63149567502461</c:v>
                </c:pt>
                <c:pt idx="11">
                  <c:v>409.50499794853545</c:v>
                </c:pt>
                <c:pt idx="12">
                  <c:v>530.57352726565159</c:v>
                </c:pt>
                <c:pt idx="13">
                  <c:v>425.04475486313993</c:v>
                </c:pt>
                <c:pt idx="14">
                  <c:v>506.171279861541</c:v>
                </c:pt>
                <c:pt idx="15">
                  <c:v>415.07430997876855</c:v>
                </c:pt>
                <c:pt idx="16">
                  <c:v>393.32021971668883</c:v>
                </c:pt>
                <c:pt idx="17">
                  <c:v>380.68745157687289</c:v>
                </c:pt>
                <c:pt idx="18">
                  <c:v>411.2795399132923</c:v>
                </c:pt>
                <c:pt idx="19">
                  <c:v>406.98655776756846</c:v>
                </c:pt>
                <c:pt idx="20">
                  <c:v>405.15145746802187</c:v>
                </c:pt>
                <c:pt idx="21">
                  <c:v>391.4002080412464</c:v>
                </c:pt>
                <c:pt idx="22">
                  <c:v>413.51363636363635</c:v>
                </c:pt>
                <c:pt idx="23">
                  <c:v>381.21098039215684</c:v>
                </c:pt>
              </c:numCache>
            </c:numRef>
          </c:val>
          <c:extLst>
            <c:ext xmlns:c16="http://schemas.microsoft.com/office/drawing/2014/chart" uri="{C3380CC4-5D6E-409C-BE32-E72D297353CC}">
              <c16:uniqueId val="{00000004-76C9-4FC5-913E-0BA75AED5DF8}"/>
            </c:ext>
          </c:extLst>
        </c:ser>
        <c:ser>
          <c:idx val="4"/>
          <c:order val="4"/>
          <c:tx>
            <c:v>2015</c:v>
          </c:tx>
          <c:spPr>
            <a:solidFill>
              <a:schemeClr val="accent5"/>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corretta'!$AX$4:$AX$52</c15:sqref>
                  </c15:fullRef>
                </c:ext>
              </c:extLst>
              <c:f>('Analisi dati, formula corretta'!$AX$4,'Analisi dati, formula corretta'!$AX$7,'Analisi dati, formula corretta'!$AX$9,'Analisi dati, formula corretta'!$AX$11,'Analisi dati, formula corretta'!$AX$13:$AX$16,'Analisi dati, formula corretta'!$AX$19:$AX$21,'Analisi dati, formula corretta'!$AX$23:$AX$24,'Analisi dati, formula corretta'!$AX$29:$AX$30,'Analisi dati, formula corretta'!$AX$32,'Analisi dati, formula corretta'!$AX$34,'Analisi dati, formula corretta'!$AX$38:$AX$39,'Analisi dati, formula corretta'!$AX$41:$AX$42,'Analisi dati, formula corretta'!$AX$46,'Analisi dati, formula corretta'!$AX$48,'Analisi dati, formula corretta'!$AX$51)</c:f>
              <c:numCache>
                <c:formatCode>#,##0.00</c:formatCode>
                <c:ptCount val="24"/>
                <c:pt idx="0">
                  <c:v>451.40680185721652</c:v>
                </c:pt>
                <c:pt idx="1">
                  <c:v>391.47121535181236</c:v>
                </c:pt>
                <c:pt idx="2">
                  <c:v>393</c:v>
                </c:pt>
                <c:pt idx="3">
                  <c:v>425.49614820883511</c:v>
                </c:pt>
                <c:pt idx="4">
                  <c:v>399.77260018639328</c:v>
                </c:pt>
                <c:pt idx="5">
                  <c:v>405.84561719365365</c:v>
                </c:pt>
                <c:pt idx="6">
                  <c:v>729.36504720612675</c:v>
                </c:pt>
                <c:pt idx="7">
                  <c:v>387.91593695271456</c:v>
                </c:pt>
                <c:pt idx="8">
                  <c:v>491.53677277716798</c:v>
                </c:pt>
                <c:pt idx="9">
                  <c:v>405.41984732824426</c:v>
                </c:pt>
                <c:pt idx="10">
                  <c:v>375.96005115092601</c:v>
                </c:pt>
                <c:pt idx="11">
                  <c:v>412.84354172136841</c:v>
                </c:pt>
                <c:pt idx="12">
                  <c:v>441.79383978981497</c:v>
                </c:pt>
                <c:pt idx="13">
                  <c:v>400.35845181038303</c:v>
                </c:pt>
                <c:pt idx="14">
                  <c:v>1122.8523301516002</c:v>
                </c:pt>
                <c:pt idx="15">
                  <c:v>408.51063829787233</c:v>
                </c:pt>
                <c:pt idx="16">
                  <c:v>396.19671169539191</c:v>
                </c:pt>
                <c:pt idx="17">
                  <c:v>380.88377272415124</c:v>
                </c:pt>
                <c:pt idx="18">
                  <c:v>416.1764985215811</c:v>
                </c:pt>
                <c:pt idx="19">
                  <c:v>392.04682889071648</c:v>
                </c:pt>
                <c:pt idx="20">
                  <c:v>405.55608182711825</c:v>
                </c:pt>
                <c:pt idx="21">
                  <c:v>383.51423732490139</c:v>
                </c:pt>
                <c:pt idx="22">
                  <c:v>400.21627405766304</c:v>
                </c:pt>
                <c:pt idx="23">
                  <c:v>381.72213967310552</c:v>
                </c:pt>
              </c:numCache>
            </c:numRef>
          </c:val>
          <c:extLst>
            <c:ext xmlns:c16="http://schemas.microsoft.com/office/drawing/2014/chart" uri="{C3380CC4-5D6E-409C-BE32-E72D297353CC}">
              <c16:uniqueId val="{00000005-76C9-4FC5-913E-0BA75AED5DF8}"/>
            </c:ext>
          </c:extLst>
        </c:ser>
        <c:ser>
          <c:idx val="5"/>
          <c:order val="5"/>
          <c:tx>
            <c:v>2016</c:v>
          </c:tx>
          <c:spPr>
            <a:solidFill>
              <a:schemeClr val="accent6"/>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corretta'!$AY$4:$AY$52</c15:sqref>
                  </c15:fullRef>
                </c:ext>
              </c:extLst>
              <c:f>('Analisi dati, formula corretta'!$AY$4,'Analisi dati, formula corretta'!$AY$7,'Analisi dati, formula corretta'!$AY$9,'Analisi dati, formula corretta'!$AY$11,'Analisi dati, formula corretta'!$AY$13:$AY$16,'Analisi dati, formula corretta'!$AY$19:$AY$21,'Analisi dati, formula corretta'!$AY$23:$AY$24,'Analisi dati, formula corretta'!$AY$29:$AY$30,'Analisi dati, formula corretta'!$AY$32,'Analisi dati, formula corretta'!$AY$34,'Analisi dati, formula corretta'!$AY$38:$AY$39,'Analisi dati, formula corretta'!$AY$41:$AY$42,'Analisi dati, formula corretta'!$AY$46,'Analisi dati, formula corretta'!$AY$48,'Analisi dati, formula corretta'!$AY$51)</c:f>
              <c:numCache>
                <c:formatCode>#,##0.00</c:formatCode>
                <c:ptCount val="24"/>
                <c:pt idx="0">
                  <c:v>385.69407015478225</c:v>
                </c:pt>
                <c:pt idx="1">
                  <c:v>397.21448467966576</c:v>
                </c:pt>
                <c:pt idx="2">
                  <c:v>396.42563234631928</c:v>
                </c:pt>
                <c:pt idx="3">
                  <c:v>432.0533961372567</c:v>
                </c:pt>
                <c:pt idx="4">
                  <c:v>397.12055837563452</c:v>
                </c:pt>
                <c:pt idx="5">
                  <c:v>391.92474119339761</c:v>
                </c:pt>
                <c:pt idx="6">
                  <c:v>724.87541203855596</c:v>
                </c:pt>
                <c:pt idx="7">
                  <c:v>381.10749185667754</c:v>
                </c:pt>
                <c:pt idx="8">
                  <c:v>392.51935453782301</c:v>
                </c:pt>
                <c:pt idx="9">
                  <c:v>400.41176470588238</c:v>
                </c:pt>
                <c:pt idx="10">
                  <c:v>375.22371939252059</c:v>
                </c:pt>
                <c:pt idx="11">
                  <c:v>416.42793043814964</c:v>
                </c:pt>
                <c:pt idx="12">
                  <c:v>394.10077836952064</c:v>
                </c:pt>
                <c:pt idx="13">
                  <c:v>402.81278760609467</c:v>
                </c:pt>
                <c:pt idx="14">
                  <c:v>531.17056568006547</c:v>
                </c:pt>
                <c:pt idx="15">
                  <c:v>410.83333333333331</c:v>
                </c:pt>
                <c:pt idx="16">
                  <c:v>388.09163580111942</c:v>
                </c:pt>
                <c:pt idx="17">
                  <c:v>372.60057969497313</c:v>
                </c:pt>
                <c:pt idx="18">
                  <c:v>412.60154288708026</c:v>
                </c:pt>
                <c:pt idx="19">
                  <c:v>372.18598561733836</c:v>
                </c:pt>
                <c:pt idx="20">
                  <c:v>390.4534277454818</c:v>
                </c:pt>
                <c:pt idx="21">
                  <c:v>375.79515017320813</c:v>
                </c:pt>
                <c:pt idx="22">
                  <c:v>393.79025300033572</c:v>
                </c:pt>
                <c:pt idx="23">
                  <c:v>388.76618837050671</c:v>
                </c:pt>
              </c:numCache>
            </c:numRef>
          </c:val>
          <c:extLst>
            <c:ext xmlns:c16="http://schemas.microsoft.com/office/drawing/2014/chart" uri="{C3380CC4-5D6E-409C-BE32-E72D297353CC}">
              <c16:uniqueId val="{00000006-76C9-4FC5-913E-0BA75AED5DF8}"/>
            </c:ext>
          </c:extLst>
        </c:ser>
        <c:ser>
          <c:idx val="6"/>
          <c:order val="6"/>
          <c:tx>
            <c:v>2017</c:v>
          </c:tx>
          <c:spPr>
            <a:solidFill>
              <a:schemeClr val="accent1">
                <a:lumMod val="60000"/>
              </a:schemeClr>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corretta'!$AZ$4:$AZ$52</c15:sqref>
                  </c15:fullRef>
                </c:ext>
              </c:extLst>
              <c:f>('Analisi dati, formula corretta'!$AZ$4,'Analisi dati, formula corretta'!$AZ$7,'Analisi dati, formula corretta'!$AZ$9,'Analisi dati, formula corretta'!$AZ$11,'Analisi dati, formula corretta'!$AZ$13:$AZ$16,'Analisi dati, formula corretta'!$AZ$19:$AZ$21,'Analisi dati, formula corretta'!$AZ$23:$AZ$24,'Analisi dati, formula corretta'!$AZ$29:$AZ$30,'Analisi dati, formula corretta'!$AZ$32,'Analisi dati, formula corretta'!$AZ$34,'Analisi dati, formula corretta'!$AZ$38:$AZ$39,'Analisi dati, formula corretta'!$AZ$41:$AZ$42,'Analisi dati, formula corretta'!$AZ$46,'Analisi dati, formula corretta'!$AZ$48,'Analisi dati, formula corretta'!$AZ$51)</c:f>
              <c:numCache>
                <c:formatCode>#,##0.00</c:formatCode>
                <c:ptCount val="24"/>
                <c:pt idx="0">
                  <c:v>368.88</c:v>
                </c:pt>
                <c:pt idx="1">
                  <c:v>388.47824696097251</c:v>
                </c:pt>
                <c:pt idx="2">
                  <c:v>388.38532110091745</c:v>
                </c:pt>
                <c:pt idx="3">
                  <c:v>395.22230272631839</c:v>
                </c:pt>
                <c:pt idx="4">
                  <c:v>386.18599926009006</c:v>
                </c:pt>
                <c:pt idx="5">
                  <c:v>391.62999138401415</c:v>
                </c:pt>
                <c:pt idx="6">
                  <c:v>704.4110766089583</c:v>
                </c:pt>
                <c:pt idx="7">
                  <c:v>382.60635433494883</c:v>
                </c:pt>
                <c:pt idx="8">
                  <c:v>395.39834153132517</c:v>
                </c:pt>
                <c:pt idx="9">
                  <c:v>387.4130624931002</c:v>
                </c:pt>
                <c:pt idx="10">
                  <c:v>364.17587834891265</c:v>
                </c:pt>
                <c:pt idx="11">
                  <c:v>407.69128245998718</c:v>
                </c:pt>
                <c:pt idx="12">
                  <c:v>388.47391789206461</c:v>
                </c:pt>
                <c:pt idx="13">
                  <c:v>398.48632709749376</c:v>
                </c:pt>
                <c:pt idx="14">
                  <c:v>482.20290754824356</c:v>
                </c:pt>
                <c:pt idx="15">
                  <c:v>408.46366145354187</c:v>
                </c:pt>
                <c:pt idx="16">
                  <c:v>384.98705261351364</c:v>
                </c:pt>
                <c:pt idx="17">
                  <c:v>371.53078595186338</c:v>
                </c:pt>
                <c:pt idx="18">
                  <c:v>402.85219937028756</c:v>
                </c:pt>
                <c:pt idx="19">
                  <c:v>373.0368682992052</c:v>
                </c:pt>
                <c:pt idx="20">
                  <c:v>389.85446136501832</c:v>
                </c:pt>
                <c:pt idx="21">
                  <c:v>371.8029686841416</c:v>
                </c:pt>
                <c:pt idx="22">
                  <c:v>395.01954948481028</c:v>
                </c:pt>
                <c:pt idx="23">
                  <c:v>384.21145770686195</c:v>
                </c:pt>
              </c:numCache>
            </c:numRef>
          </c:val>
          <c:extLst>
            <c:ext xmlns:c16="http://schemas.microsoft.com/office/drawing/2014/chart" uri="{C3380CC4-5D6E-409C-BE32-E72D297353CC}">
              <c16:uniqueId val="{00000007-76C9-4FC5-913E-0BA75AED5DF8}"/>
            </c:ext>
          </c:extLst>
        </c:ser>
        <c:ser>
          <c:idx val="7"/>
          <c:order val="7"/>
          <c:tx>
            <c:v>2018</c:v>
          </c:tx>
          <c:spPr>
            <a:solidFill>
              <a:schemeClr val="accent2">
                <a:lumMod val="60000"/>
              </a:schemeClr>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corretta'!$BA$4:$BA$52</c15:sqref>
                  </c15:fullRef>
                </c:ext>
              </c:extLst>
              <c:f>('Analisi dati, formula corretta'!$BA$4,'Analisi dati, formula corretta'!$BA$7,'Analisi dati, formula corretta'!$BA$9,'Analisi dati, formula corretta'!$BA$11,'Analisi dati, formula corretta'!$BA$13:$BA$16,'Analisi dati, formula corretta'!$BA$19:$BA$21,'Analisi dati, formula corretta'!$BA$23:$BA$24,'Analisi dati, formula corretta'!$BA$29:$BA$30,'Analisi dati, formula corretta'!$BA$32,'Analisi dati, formula corretta'!$BA$34,'Analisi dati, formula corretta'!$BA$38:$BA$39,'Analisi dati, formula corretta'!$BA$41:$BA$42,'Analisi dati, formula corretta'!$BA$46,'Analisi dati, formula corretta'!$BA$48,'Analisi dati, formula corretta'!$BA$51)</c:f>
              <c:numCache>
                <c:formatCode>#,##0.00</c:formatCode>
                <c:ptCount val="24"/>
                <c:pt idx="0">
                  <c:v>419.89</c:v>
                </c:pt>
                <c:pt idx="1">
                  <c:v>381.0792815113038</c:v>
                </c:pt>
                <c:pt idx="2">
                  <c:v>406.27387996618768</c:v>
                </c:pt>
                <c:pt idx="3">
                  <c:v>388.20765449918542</c:v>
                </c:pt>
                <c:pt idx="4">
                  <c:v>386.67514957901295</c:v>
                </c:pt>
                <c:pt idx="5">
                  <c:v>387.01950587966007</c:v>
                </c:pt>
                <c:pt idx="6">
                  <c:v>723.44061520934213</c:v>
                </c:pt>
                <c:pt idx="7">
                  <c:v>387.13318284424378</c:v>
                </c:pt>
                <c:pt idx="8">
                  <c:v>387.90872892767277</c:v>
                </c:pt>
                <c:pt idx="9">
                  <c:v>394.07139945256534</c:v>
                </c:pt>
                <c:pt idx="10">
                  <c:v>367.13450773789924</c:v>
                </c:pt>
                <c:pt idx="11">
                  <c:v>411.19435185307179</c:v>
                </c:pt>
                <c:pt idx="12">
                  <c:v>386.13351422450734</c:v>
                </c:pt>
                <c:pt idx="13">
                  <c:v>406.70106208846397</c:v>
                </c:pt>
                <c:pt idx="14">
                  <c:v>409.7043808619257</c:v>
                </c:pt>
                <c:pt idx="15">
                  <c:v>402.79823269513992</c:v>
                </c:pt>
                <c:pt idx="16">
                  <c:v>385.18648408683117</c:v>
                </c:pt>
                <c:pt idx="17">
                  <c:v>384.19213288507154</c:v>
                </c:pt>
                <c:pt idx="18">
                  <c:v>401.87925261907333</c:v>
                </c:pt>
                <c:pt idx="19">
                  <c:v>381.55689254338745</c:v>
                </c:pt>
                <c:pt idx="20">
                  <c:v>389.48996516680569</c:v>
                </c:pt>
                <c:pt idx="21">
                  <c:v>374.89580731984796</c:v>
                </c:pt>
                <c:pt idx="22">
                  <c:v>391.54343972989676</c:v>
                </c:pt>
                <c:pt idx="23">
                  <c:v>377.37046885271144</c:v>
                </c:pt>
              </c:numCache>
            </c:numRef>
          </c:val>
          <c:extLst>
            <c:ext xmlns:c16="http://schemas.microsoft.com/office/drawing/2014/chart" uri="{C3380CC4-5D6E-409C-BE32-E72D297353CC}">
              <c16:uniqueId val="{00000008-76C9-4FC5-913E-0BA75AED5DF8}"/>
            </c:ext>
          </c:extLst>
        </c:ser>
        <c:ser>
          <c:idx val="8"/>
          <c:order val="8"/>
          <c:tx>
            <c:v>2019</c:v>
          </c:tx>
          <c:spPr>
            <a:solidFill>
              <a:schemeClr val="accent3">
                <a:lumMod val="60000"/>
              </a:schemeClr>
            </a:solidFill>
            <a:ln>
              <a:noFill/>
            </a:ln>
            <a:effectLst/>
          </c:spPr>
          <c:invertIfNegative val="0"/>
          <c:cat>
            <c:strLit>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35</c:v>
              </c:pt>
              <c:pt idx="18">
                <c:v>36</c:v>
              </c:pt>
              <c:pt idx="19">
                <c:v>38</c:v>
              </c:pt>
              <c:pt idx="20">
                <c:v>39</c:v>
              </c:pt>
              <c:pt idx="21">
                <c:v>43</c:v>
              </c:pt>
              <c:pt idx="22">
                <c:v>45</c:v>
              </c:pt>
              <c:pt idx="23">
                <c:v>48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corretta'!$BB$4:$BB$52</c15:sqref>
                  </c15:fullRef>
                </c:ext>
              </c:extLst>
              <c:f>('Analisi dati, formula corretta'!$BB$4,'Analisi dati, formula corretta'!$BB$7,'Analisi dati, formula corretta'!$BB$9,'Analisi dati, formula corretta'!$BB$11,'Analisi dati, formula corretta'!$BB$13:$BB$16,'Analisi dati, formula corretta'!$BB$19:$BB$21,'Analisi dati, formula corretta'!$BB$23:$BB$24,'Analisi dati, formula corretta'!$BB$29:$BB$30,'Analisi dati, formula corretta'!$BB$32,'Analisi dati, formula corretta'!$BB$34,'Analisi dati, formula corretta'!$BB$38:$BB$39,'Analisi dati, formula corretta'!$BB$41:$BB$42,'Analisi dati, formula corretta'!$BB$46,'Analisi dati, formula corretta'!$BB$48,'Analisi dati, formula corretta'!$BB$51)</c:f>
              <c:numCache>
                <c:formatCode>#,##0.00</c:formatCode>
                <c:ptCount val="24"/>
                <c:pt idx="0">
                  <c:v>412.3</c:v>
                </c:pt>
                <c:pt idx="1">
                  <c:v>379.55289765721329</c:v>
                </c:pt>
                <c:pt idx="2">
                  <c:v>386.94617563739376</c:v>
                </c:pt>
                <c:pt idx="3">
                  <c:v>394.73783455947142</c:v>
                </c:pt>
                <c:pt idx="4">
                  <c:v>380.74424039983046</c:v>
                </c:pt>
                <c:pt idx="5">
                  <c:v>383.23726878930313</c:v>
                </c:pt>
                <c:pt idx="6">
                  <c:v>709.09307591467052</c:v>
                </c:pt>
                <c:pt idx="7">
                  <c:v>381.04020656584288</c:v>
                </c:pt>
                <c:pt idx="8">
                  <c:v>393.62834457951203</c:v>
                </c:pt>
                <c:pt idx="9">
                  <c:v>389.24523644308124</c:v>
                </c:pt>
                <c:pt idx="10">
                  <c:v>368.22433797550036</c:v>
                </c:pt>
                <c:pt idx="11">
                  <c:v>398.19853122774254</c:v>
                </c:pt>
                <c:pt idx="12">
                  <c:v>380.47284319130461</c:v>
                </c:pt>
                <c:pt idx="13">
                  <c:v>404.49073150664435</c:v>
                </c:pt>
                <c:pt idx="14">
                  <c:v>400.18382994743166</c:v>
                </c:pt>
                <c:pt idx="15">
                  <c:v>406.81818181818181</c:v>
                </c:pt>
                <c:pt idx="16">
                  <c:v>387.74340771304918</c:v>
                </c:pt>
                <c:pt idx="17">
                  <c:v>384.49821561750724</c:v>
                </c:pt>
                <c:pt idx="18">
                  <c:v>398.94266051179977</c:v>
                </c:pt>
                <c:pt idx="19">
                  <c:v>0</c:v>
                </c:pt>
                <c:pt idx="20">
                  <c:v>393.45100995441476</c:v>
                </c:pt>
                <c:pt idx="21">
                  <c:v>375.04012195179683</c:v>
                </c:pt>
                <c:pt idx="22">
                  <c:v>394.14656750474091</c:v>
                </c:pt>
                <c:pt idx="23">
                  <c:v>373.10171461386358</c:v>
                </c:pt>
              </c:numCache>
            </c:numRef>
          </c:val>
          <c:extLst>
            <c:ext xmlns:c16="http://schemas.microsoft.com/office/drawing/2014/chart" uri="{C3380CC4-5D6E-409C-BE32-E72D297353CC}">
              <c16:uniqueId val="{00000009-76C9-4FC5-913E-0BA75AED5DF8}"/>
            </c:ext>
          </c:extLst>
        </c:ser>
        <c:dLbls>
          <c:showLegendKey val="0"/>
          <c:showVal val="0"/>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Emissioni massiche totali </a:t>
            </a:r>
            <a:r>
              <a:rPr lang="it-IT" baseline="0"/>
              <a:t>annue in tonnellate (NOx)</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8"/>
          <c:order val="0"/>
          <c:tx>
            <c:v>2011</c:v>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corretta'!$BJ$53</c:f>
              <c:numCache>
                <c:formatCode>#,##0.0</c:formatCode>
                <c:ptCount val="1"/>
                <c:pt idx="0">
                  <c:v>27190.558999999997</c:v>
                </c:pt>
              </c:numCache>
            </c:numRef>
          </c:val>
          <c:extLst>
            <c:ext xmlns:c16="http://schemas.microsoft.com/office/drawing/2014/chart" uri="{C3380CC4-5D6E-409C-BE32-E72D297353CC}">
              <c16:uniqueId val="{00000000-068D-459F-A545-6BDF09111A29}"/>
            </c:ext>
          </c:extLst>
        </c:ser>
        <c:ser>
          <c:idx val="0"/>
          <c:order val="1"/>
          <c:tx>
            <c:v>2012</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corretta'!$BK$53</c:f>
              <c:numCache>
                <c:formatCode>#,##0.0</c:formatCode>
                <c:ptCount val="1"/>
                <c:pt idx="0">
                  <c:v>26066.56682</c:v>
                </c:pt>
              </c:numCache>
            </c:numRef>
          </c:val>
          <c:extLst>
            <c:ext xmlns:c16="http://schemas.microsoft.com/office/drawing/2014/chart" uri="{C3380CC4-5D6E-409C-BE32-E72D297353CC}">
              <c16:uniqueId val="{00000001-068D-459F-A545-6BDF09111A29}"/>
            </c:ext>
          </c:extLst>
        </c:ser>
        <c:ser>
          <c:idx val="1"/>
          <c:order val="2"/>
          <c:tx>
            <c:v>2013</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corretta'!$BL$53</c:f>
              <c:numCache>
                <c:formatCode>#,##0.0</c:formatCode>
                <c:ptCount val="1"/>
                <c:pt idx="0">
                  <c:v>23857.215950000002</c:v>
                </c:pt>
              </c:numCache>
            </c:numRef>
          </c:val>
          <c:extLst>
            <c:ext xmlns:c16="http://schemas.microsoft.com/office/drawing/2014/chart" uri="{C3380CC4-5D6E-409C-BE32-E72D297353CC}">
              <c16:uniqueId val="{00000002-068D-459F-A545-6BDF09111A29}"/>
            </c:ext>
          </c:extLst>
        </c:ser>
        <c:ser>
          <c:idx val="2"/>
          <c:order val="3"/>
          <c:tx>
            <c:v>2014</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corretta'!$BM$53</c:f>
              <c:numCache>
                <c:formatCode>#,##0.0</c:formatCode>
                <c:ptCount val="1"/>
                <c:pt idx="0">
                  <c:v>21418.537139999997</c:v>
                </c:pt>
              </c:numCache>
            </c:numRef>
          </c:val>
          <c:extLst>
            <c:ext xmlns:c16="http://schemas.microsoft.com/office/drawing/2014/chart" uri="{C3380CC4-5D6E-409C-BE32-E72D297353CC}">
              <c16:uniqueId val="{00000003-068D-459F-A545-6BDF09111A29}"/>
            </c:ext>
          </c:extLst>
        </c:ser>
        <c:ser>
          <c:idx val="3"/>
          <c:order val="4"/>
          <c:tx>
            <c:v>2015</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corretta'!$BN$53</c:f>
              <c:numCache>
                <c:formatCode>#,##0.0</c:formatCode>
                <c:ptCount val="1"/>
                <c:pt idx="0">
                  <c:v>19647.070826000006</c:v>
                </c:pt>
              </c:numCache>
            </c:numRef>
          </c:val>
          <c:extLst>
            <c:ext xmlns:c16="http://schemas.microsoft.com/office/drawing/2014/chart" uri="{C3380CC4-5D6E-409C-BE32-E72D297353CC}">
              <c16:uniqueId val="{00000004-068D-459F-A545-6BDF09111A29}"/>
            </c:ext>
          </c:extLst>
        </c:ser>
        <c:ser>
          <c:idx val="4"/>
          <c:order val="5"/>
          <c:tx>
            <c:v>2016</c:v>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corretta'!$BO$53</c:f>
              <c:numCache>
                <c:formatCode>#,##0.0</c:formatCode>
                <c:ptCount val="1"/>
                <c:pt idx="0">
                  <c:v>20725.168172000009</c:v>
                </c:pt>
              </c:numCache>
            </c:numRef>
          </c:val>
          <c:extLst>
            <c:ext xmlns:c16="http://schemas.microsoft.com/office/drawing/2014/chart" uri="{C3380CC4-5D6E-409C-BE32-E72D297353CC}">
              <c16:uniqueId val="{00000005-068D-459F-A545-6BDF09111A29}"/>
            </c:ext>
          </c:extLst>
        </c:ser>
        <c:ser>
          <c:idx val="5"/>
          <c:order val="6"/>
          <c:tx>
            <c:v>2017</c:v>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corretta'!$BP$53</c:f>
              <c:numCache>
                <c:formatCode>#,##0.0</c:formatCode>
                <c:ptCount val="1"/>
                <c:pt idx="0">
                  <c:v>19446.002154000002</c:v>
                </c:pt>
              </c:numCache>
            </c:numRef>
          </c:val>
          <c:extLst>
            <c:ext xmlns:c16="http://schemas.microsoft.com/office/drawing/2014/chart" uri="{C3380CC4-5D6E-409C-BE32-E72D297353CC}">
              <c16:uniqueId val="{00000006-068D-459F-A545-6BDF09111A29}"/>
            </c:ext>
          </c:extLst>
        </c:ser>
        <c:ser>
          <c:idx val="6"/>
          <c:order val="7"/>
          <c:tx>
            <c:v>2018</c:v>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corretta'!$BQ$53</c:f>
              <c:numCache>
                <c:formatCode>#,##0.0</c:formatCode>
                <c:ptCount val="1"/>
                <c:pt idx="0">
                  <c:v>17567.230581</c:v>
                </c:pt>
              </c:numCache>
            </c:numRef>
          </c:val>
          <c:extLst>
            <c:ext xmlns:c16="http://schemas.microsoft.com/office/drawing/2014/chart" uri="{C3380CC4-5D6E-409C-BE32-E72D297353CC}">
              <c16:uniqueId val="{00000007-068D-459F-A545-6BDF09111A29}"/>
            </c:ext>
          </c:extLst>
        </c:ser>
        <c:ser>
          <c:idx val="7"/>
          <c:order val="8"/>
          <c:tx>
            <c:v>2019</c:v>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corretta'!$BR$53</c:f>
              <c:numCache>
                <c:formatCode>#,##0.0</c:formatCode>
                <c:ptCount val="1"/>
                <c:pt idx="0">
                  <c:v>15477.495330999998</c:v>
                </c:pt>
              </c:numCache>
            </c:numRef>
          </c:val>
          <c:extLst>
            <c:ext xmlns:c16="http://schemas.microsoft.com/office/drawing/2014/chart" uri="{C3380CC4-5D6E-409C-BE32-E72D297353CC}">
              <c16:uniqueId val="{00000008-068D-459F-A545-6BDF09111A29}"/>
            </c:ext>
          </c:extLst>
        </c:ser>
        <c:dLbls>
          <c:dLblPos val="outEnd"/>
          <c:showLegendKey val="0"/>
          <c:showVal val="1"/>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Emissioni massiche totali </a:t>
            </a:r>
            <a:r>
              <a:rPr lang="it-IT" baseline="0"/>
              <a:t>annue in tonnellate (CO)</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8"/>
          <c:order val="0"/>
          <c:tx>
            <c:v>2011</c:v>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corretta'!$CG$53</c:f>
              <c:numCache>
                <c:formatCode>#,##0.0</c:formatCode>
                <c:ptCount val="1"/>
                <c:pt idx="0">
                  <c:v>10598.177779999998</c:v>
                </c:pt>
              </c:numCache>
            </c:numRef>
          </c:val>
          <c:extLst>
            <c:ext xmlns:c16="http://schemas.microsoft.com/office/drawing/2014/chart" uri="{C3380CC4-5D6E-409C-BE32-E72D297353CC}">
              <c16:uniqueId val="{00000000-3765-473E-BEFF-368B62AE68B4}"/>
            </c:ext>
          </c:extLst>
        </c:ser>
        <c:ser>
          <c:idx val="0"/>
          <c:order val="1"/>
          <c:tx>
            <c:v>2012</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corretta'!$CH$53</c:f>
              <c:numCache>
                <c:formatCode>#,##0.0</c:formatCode>
                <c:ptCount val="1"/>
                <c:pt idx="0">
                  <c:v>14071.3984</c:v>
                </c:pt>
              </c:numCache>
            </c:numRef>
          </c:val>
          <c:extLst>
            <c:ext xmlns:c16="http://schemas.microsoft.com/office/drawing/2014/chart" uri="{C3380CC4-5D6E-409C-BE32-E72D297353CC}">
              <c16:uniqueId val="{00000001-3765-473E-BEFF-368B62AE68B4}"/>
            </c:ext>
          </c:extLst>
        </c:ser>
        <c:ser>
          <c:idx val="1"/>
          <c:order val="2"/>
          <c:tx>
            <c:v>2013</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corretta'!$CI$53</c:f>
              <c:numCache>
                <c:formatCode>#,##0.0</c:formatCode>
                <c:ptCount val="1"/>
                <c:pt idx="0">
                  <c:v>15112.208000000002</c:v>
                </c:pt>
              </c:numCache>
            </c:numRef>
          </c:val>
          <c:extLst>
            <c:ext xmlns:c16="http://schemas.microsoft.com/office/drawing/2014/chart" uri="{C3380CC4-5D6E-409C-BE32-E72D297353CC}">
              <c16:uniqueId val="{00000002-3765-473E-BEFF-368B62AE68B4}"/>
            </c:ext>
          </c:extLst>
        </c:ser>
        <c:ser>
          <c:idx val="2"/>
          <c:order val="3"/>
          <c:tx>
            <c:v>2014</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corretta'!$CJ$53</c:f>
              <c:numCache>
                <c:formatCode>#,##0.0</c:formatCode>
                <c:ptCount val="1"/>
                <c:pt idx="0">
                  <c:v>15288.0584</c:v>
                </c:pt>
              </c:numCache>
            </c:numRef>
          </c:val>
          <c:extLst>
            <c:ext xmlns:c16="http://schemas.microsoft.com/office/drawing/2014/chart" uri="{C3380CC4-5D6E-409C-BE32-E72D297353CC}">
              <c16:uniqueId val="{00000003-3765-473E-BEFF-368B62AE68B4}"/>
            </c:ext>
          </c:extLst>
        </c:ser>
        <c:ser>
          <c:idx val="3"/>
          <c:order val="4"/>
          <c:tx>
            <c:v>2015</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corretta'!$CK$53</c:f>
              <c:numCache>
                <c:formatCode>#,##0.0</c:formatCode>
                <c:ptCount val="1"/>
                <c:pt idx="0">
                  <c:v>12585.017603999999</c:v>
                </c:pt>
              </c:numCache>
            </c:numRef>
          </c:val>
          <c:extLst>
            <c:ext xmlns:c16="http://schemas.microsoft.com/office/drawing/2014/chart" uri="{C3380CC4-5D6E-409C-BE32-E72D297353CC}">
              <c16:uniqueId val="{00000004-3765-473E-BEFF-368B62AE68B4}"/>
            </c:ext>
          </c:extLst>
        </c:ser>
        <c:ser>
          <c:idx val="4"/>
          <c:order val="5"/>
          <c:tx>
            <c:v>2016</c:v>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corretta'!$CL$53</c:f>
              <c:numCache>
                <c:formatCode>#,##0.0</c:formatCode>
                <c:ptCount val="1"/>
                <c:pt idx="0">
                  <c:v>10358.934998999999</c:v>
                </c:pt>
              </c:numCache>
            </c:numRef>
          </c:val>
          <c:extLst>
            <c:ext xmlns:c16="http://schemas.microsoft.com/office/drawing/2014/chart" uri="{C3380CC4-5D6E-409C-BE32-E72D297353CC}">
              <c16:uniqueId val="{00000005-3765-473E-BEFF-368B62AE68B4}"/>
            </c:ext>
          </c:extLst>
        </c:ser>
        <c:ser>
          <c:idx val="5"/>
          <c:order val="6"/>
          <c:tx>
            <c:v>2017</c:v>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corretta'!$CM$53</c:f>
              <c:numCache>
                <c:formatCode>#,##0.0</c:formatCode>
                <c:ptCount val="1"/>
                <c:pt idx="0">
                  <c:v>8583.327593</c:v>
                </c:pt>
              </c:numCache>
            </c:numRef>
          </c:val>
          <c:extLst>
            <c:ext xmlns:c16="http://schemas.microsoft.com/office/drawing/2014/chart" uri="{C3380CC4-5D6E-409C-BE32-E72D297353CC}">
              <c16:uniqueId val="{00000006-3765-473E-BEFF-368B62AE68B4}"/>
            </c:ext>
          </c:extLst>
        </c:ser>
        <c:ser>
          <c:idx val="6"/>
          <c:order val="7"/>
          <c:tx>
            <c:v>2018</c:v>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corretta'!$CN$53</c:f>
              <c:numCache>
                <c:formatCode>#,##0.0</c:formatCode>
                <c:ptCount val="1"/>
                <c:pt idx="0">
                  <c:v>8218.8992560000006</c:v>
                </c:pt>
              </c:numCache>
            </c:numRef>
          </c:val>
          <c:extLst>
            <c:ext xmlns:c16="http://schemas.microsoft.com/office/drawing/2014/chart" uri="{C3380CC4-5D6E-409C-BE32-E72D297353CC}">
              <c16:uniqueId val="{00000007-3765-473E-BEFF-368B62AE68B4}"/>
            </c:ext>
          </c:extLst>
        </c:ser>
        <c:ser>
          <c:idx val="7"/>
          <c:order val="8"/>
          <c:tx>
            <c:v>2019</c:v>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corretta'!$CO$53</c:f>
              <c:numCache>
                <c:formatCode>#,##0.0</c:formatCode>
                <c:ptCount val="1"/>
                <c:pt idx="0">
                  <c:v>6123.8896939999986</c:v>
                </c:pt>
              </c:numCache>
            </c:numRef>
          </c:val>
          <c:extLst>
            <c:ext xmlns:c16="http://schemas.microsoft.com/office/drawing/2014/chart" uri="{C3380CC4-5D6E-409C-BE32-E72D297353CC}">
              <c16:uniqueId val="{00000008-3765-473E-BEFF-368B62AE68B4}"/>
            </c:ext>
          </c:extLst>
        </c:ser>
        <c:dLbls>
          <c:dLblPos val="outEnd"/>
          <c:showLegendKey val="0"/>
          <c:showVal val="1"/>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Emissioni massiche totali </a:t>
            </a:r>
            <a:r>
              <a:rPr lang="it-IT" baseline="0"/>
              <a:t>annue in tonnellate (SOx)</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8"/>
          <c:order val="0"/>
          <c:tx>
            <c:v>2011</c:v>
          </c:tx>
          <c:spPr>
            <a:solidFill>
              <a:schemeClr val="accent3">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corretta'!$DD$53</c:f>
              <c:numCache>
                <c:formatCode>#,##0.0</c:formatCode>
                <c:ptCount val="1"/>
                <c:pt idx="0">
                  <c:v>20070.301899999999</c:v>
                </c:pt>
              </c:numCache>
            </c:numRef>
          </c:val>
          <c:extLst>
            <c:ext xmlns:c16="http://schemas.microsoft.com/office/drawing/2014/chart" uri="{C3380CC4-5D6E-409C-BE32-E72D297353CC}">
              <c16:uniqueId val="{00000000-6FD4-4EDC-BFD1-D66453A3D70B}"/>
            </c:ext>
          </c:extLst>
        </c:ser>
        <c:ser>
          <c:idx val="0"/>
          <c:order val="1"/>
          <c:tx>
            <c:v>2012</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corretta'!$DE$53</c:f>
              <c:numCache>
                <c:formatCode>#,##0.0</c:formatCode>
                <c:ptCount val="1"/>
                <c:pt idx="0">
                  <c:v>22409.833299999998</c:v>
                </c:pt>
              </c:numCache>
            </c:numRef>
          </c:val>
          <c:extLst>
            <c:ext xmlns:c16="http://schemas.microsoft.com/office/drawing/2014/chart" uri="{C3380CC4-5D6E-409C-BE32-E72D297353CC}">
              <c16:uniqueId val="{00000001-6FD4-4EDC-BFD1-D66453A3D70B}"/>
            </c:ext>
          </c:extLst>
        </c:ser>
        <c:ser>
          <c:idx val="1"/>
          <c:order val="2"/>
          <c:tx>
            <c:v>2013</c:v>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corretta'!$DF$53</c:f>
              <c:numCache>
                <c:formatCode>#,##0.0</c:formatCode>
                <c:ptCount val="1"/>
                <c:pt idx="0">
                  <c:v>18799.7228</c:v>
                </c:pt>
              </c:numCache>
            </c:numRef>
          </c:val>
          <c:extLst>
            <c:ext xmlns:c16="http://schemas.microsoft.com/office/drawing/2014/chart" uri="{C3380CC4-5D6E-409C-BE32-E72D297353CC}">
              <c16:uniqueId val="{00000002-6FD4-4EDC-BFD1-D66453A3D70B}"/>
            </c:ext>
          </c:extLst>
        </c:ser>
        <c:ser>
          <c:idx val="2"/>
          <c:order val="3"/>
          <c:tx>
            <c:v>2014</c:v>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corretta'!$DG$53</c:f>
              <c:numCache>
                <c:formatCode>#,##0.0</c:formatCode>
                <c:ptCount val="1"/>
                <c:pt idx="0">
                  <c:v>15832.8205</c:v>
                </c:pt>
              </c:numCache>
            </c:numRef>
          </c:val>
          <c:extLst>
            <c:ext xmlns:c16="http://schemas.microsoft.com/office/drawing/2014/chart" uri="{C3380CC4-5D6E-409C-BE32-E72D297353CC}">
              <c16:uniqueId val="{00000003-6FD4-4EDC-BFD1-D66453A3D70B}"/>
            </c:ext>
          </c:extLst>
        </c:ser>
        <c:ser>
          <c:idx val="3"/>
          <c:order val="4"/>
          <c:tx>
            <c:v>2015</c:v>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corretta'!$DH$53</c:f>
              <c:numCache>
                <c:formatCode>#,##0.0</c:formatCode>
                <c:ptCount val="1"/>
                <c:pt idx="0">
                  <c:v>13410.557705000001</c:v>
                </c:pt>
              </c:numCache>
            </c:numRef>
          </c:val>
          <c:extLst>
            <c:ext xmlns:c16="http://schemas.microsoft.com/office/drawing/2014/chart" uri="{C3380CC4-5D6E-409C-BE32-E72D297353CC}">
              <c16:uniqueId val="{00000004-6FD4-4EDC-BFD1-D66453A3D70B}"/>
            </c:ext>
          </c:extLst>
        </c:ser>
        <c:ser>
          <c:idx val="4"/>
          <c:order val="5"/>
          <c:tx>
            <c:v>2016</c:v>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corretta'!$DI$53</c:f>
              <c:numCache>
                <c:formatCode>#,##0.0</c:formatCode>
                <c:ptCount val="1"/>
                <c:pt idx="0">
                  <c:v>11478.576413000001</c:v>
                </c:pt>
              </c:numCache>
            </c:numRef>
          </c:val>
          <c:extLst>
            <c:ext xmlns:c16="http://schemas.microsoft.com/office/drawing/2014/chart" uri="{C3380CC4-5D6E-409C-BE32-E72D297353CC}">
              <c16:uniqueId val="{00000005-6FD4-4EDC-BFD1-D66453A3D70B}"/>
            </c:ext>
          </c:extLst>
        </c:ser>
        <c:ser>
          <c:idx val="5"/>
          <c:order val="6"/>
          <c:tx>
            <c:v>2017</c:v>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corretta'!$DJ$53</c:f>
              <c:numCache>
                <c:formatCode>#,##0.0</c:formatCode>
                <c:ptCount val="1"/>
                <c:pt idx="0">
                  <c:v>8707.6476129999992</c:v>
                </c:pt>
              </c:numCache>
            </c:numRef>
          </c:val>
          <c:extLst>
            <c:ext xmlns:c16="http://schemas.microsoft.com/office/drawing/2014/chart" uri="{C3380CC4-5D6E-409C-BE32-E72D297353CC}">
              <c16:uniqueId val="{00000006-6FD4-4EDC-BFD1-D66453A3D70B}"/>
            </c:ext>
          </c:extLst>
        </c:ser>
        <c:ser>
          <c:idx val="6"/>
          <c:order val="7"/>
          <c:tx>
            <c:v>2018</c:v>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corretta'!$DK$53</c:f>
              <c:numCache>
                <c:formatCode>#,##0.0</c:formatCode>
                <c:ptCount val="1"/>
                <c:pt idx="0">
                  <c:v>8452.7564649999986</c:v>
                </c:pt>
              </c:numCache>
            </c:numRef>
          </c:val>
          <c:extLst>
            <c:ext xmlns:c16="http://schemas.microsoft.com/office/drawing/2014/chart" uri="{C3380CC4-5D6E-409C-BE32-E72D297353CC}">
              <c16:uniqueId val="{00000007-6FD4-4EDC-BFD1-D66453A3D70B}"/>
            </c:ext>
          </c:extLst>
        </c:ser>
        <c:ser>
          <c:idx val="7"/>
          <c:order val="8"/>
          <c:tx>
            <c:v>2019</c:v>
          </c:tx>
          <c:spPr>
            <a:solidFill>
              <a:schemeClr val="accent2">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1"/>
              <c:pt idx="0">
                <c:v>Emissioni totali</c:v>
              </c:pt>
            </c:strLit>
          </c:cat>
          <c:val>
            <c:numRef>
              <c:f>'Analisi dati, formula corretta'!$DL$53</c:f>
              <c:numCache>
                <c:formatCode>#,##0.0</c:formatCode>
                <c:ptCount val="1"/>
                <c:pt idx="0">
                  <c:v>6582.2813619999997</c:v>
                </c:pt>
              </c:numCache>
            </c:numRef>
          </c:val>
          <c:extLst>
            <c:ext xmlns:c16="http://schemas.microsoft.com/office/drawing/2014/chart" uri="{C3380CC4-5D6E-409C-BE32-E72D297353CC}">
              <c16:uniqueId val="{00000008-6FD4-4EDC-BFD1-D66453A3D70B}"/>
            </c:ext>
          </c:extLst>
        </c:ser>
        <c:dLbls>
          <c:dLblPos val="outEnd"/>
          <c:showLegendKey val="0"/>
          <c:showVal val="1"/>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Variazioni</a:t>
            </a:r>
            <a:r>
              <a:rPr lang="it-IT" baseline="0"/>
              <a:t> delle emissioni specifiche nette fra il 2011 e il 2019 (CO</a:t>
            </a:r>
            <a:r>
              <a:rPr lang="it-IT" baseline="-25000"/>
              <a:t>2</a:t>
            </a:r>
            <a:r>
              <a:rPr lang="it-IT" baseline="0"/>
              <a:t>)</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8"/>
          <c:order val="0"/>
          <c:tx>
            <c:v>Variazione delle emissioni specifiche</c:v>
          </c:tx>
          <c:spPr>
            <a:solidFill>
              <a:schemeClr val="accent5">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'Analisi dati, formula corretta'!$BE$4:$BE$52</c:f>
              <c:numCache>
                <c:formatCode>#,##0.00</c:formatCode>
                <c:ptCount val="49"/>
                <c:pt idx="0">
                  <c:v>30.373367133909937</c:v>
                </c:pt>
                <c:pt idx="1">
                  <c:v>9.0760593858524885</c:v>
                </c:pt>
                <c:pt idx="2">
                  <c:v>188.88726126856182</c:v>
                </c:pt>
                <c:pt idx="3">
                  <c:v>-26.790016118802555</c:v>
                </c:pt>
                <c:pt idx="4">
                  <c:v>53.036262203626222</c:v>
                </c:pt>
                <c:pt idx="5">
                  <c:v>-11.053824362606235</c:v>
                </c:pt>
                <c:pt idx="6">
                  <c:v>-46.42663610029706</c:v>
                </c:pt>
                <c:pt idx="7">
                  <c:v>-3.5995910074462927</c:v>
                </c:pt>
                <c:pt idx="8">
                  <c:v>185.50232798758407</c:v>
                </c:pt>
                <c:pt idx="9">
                  <c:v>-4.0060144421674977</c:v>
                </c:pt>
                <c:pt idx="10">
                  <c:v>-3.7920199136257224</c:v>
                </c:pt>
                <c:pt idx="11">
                  <c:v>-42.221724986907248</c:v>
                </c:pt>
                <c:pt idx="12">
                  <c:v>-8.3108749649391598</c:v>
                </c:pt>
                <c:pt idx="13">
                  <c:v>78.051784341171356</c:v>
                </c:pt>
                <c:pt idx="14">
                  <c:v>35.051903196142689</c:v>
                </c:pt>
                <c:pt idx="15">
                  <c:v>9.0444712893752239</c:v>
                </c:pt>
                <c:pt idx="16">
                  <c:v>-7.4899303525114647E-2</c:v>
                </c:pt>
                <c:pt idx="17">
                  <c:v>-12.758236354019402</c:v>
                </c:pt>
                <c:pt idx="18">
                  <c:v>13.568623846849164</c:v>
                </c:pt>
                <c:pt idx="19">
                  <c:v>3.6492641752399209</c:v>
                </c:pt>
                <c:pt idx="20">
                  <c:v>-25.180136431632775</c:v>
                </c:pt>
                <c:pt idx="21">
                  <c:v>-6.4573531925819339</c:v>
                </c:pt>
                <c:pt idx="22">
                  <c:v>-58.284436014972101</c:v>
                </c:pt>
                <c:pt idx="23">
                  <c:v>-41.105096846393792</c:v>
                </c:pt>
                <c:pt idx="24">
                  <c:v>-14.389795754688691</c:v>
                </c:pt>
                <c:pt idx="25">
                  <c:v>13.007142445861575</c:v>
                </c:pt>
                <c:pt idx="26">
                  <c:v>-0.6527768906272513</c:v>
                </c:pt>
                <c:pt idx="27">
                  <c:v>-14.73383122157216</c:v>
                </c:pt>
                <c:pt idx="28">
                  <c:v>13.844857159756316</c:v>
                </c:pt>
                <c:pt idx="29">
                  <c:v>-5.5189883106821185</c:v>
                </c:pt>
                <c:pt idx="30">
                  <c:v>7.7444930280079234</c:v>
                </c:pt>
                <c:pt idx="31">
                  <c:v>12.787521648373854</c:v>
                </c:pt>
                <c:pt idx="32">
                  <c:v>-6.2655214491696825</c:v>
                </c:pt>
                <c:pt idx="33">
                  <c:v>-114.36464590496672</c:v>
                </c:pt>
                <c:pt idx="34">
                  <c:v>18.600465493943432</c:v>
                </c:pt>
                <c:pt idx="35">
                  <c:v>0.7816586232469831</c:v>
                </c:pt>
                <c:pt idx="36">
                  <c:v>5.6823779528277498</c:v>
                </c:pt>
                <c:pt idx="37">
                  <c:v>14.822160908937462</c:v>
                </c:pt>
                <c:pt idx="38">
                  <c:v>18.158287687219513</c:v>
                </c:pt>
                <c:pt idx="39">
                  <c:v>-302.1983470990973</c:v>
                </c:pt>
                <c:pt idx="40">
                  <c:v>-8.4802133522269969</c:v>
                </c:pt>
                <c:pt idx="41">
                  <c:v>182.21868714389871</c:v>
                </c:pt>
                <c:pt idx="42">
                  <c:v>-6.513355144954005</c:v>
                </c:pt>
                <c:pt idx="43">
                  <c:v>-54.761468241795285</c:v>
                </c:pt>
                <c:pt idx="44">
                  <c:v>-2.2574640465298899</c:v>
                </c:pt>
                <c:pt idx="45">
                  <c:v>-27.126482867928019</c:v>
                </c:pt>
                <c:pt idx="46">
                  <c:v>-20.637633585843332</c:v>
                </c:pt>
                <c:pt idx="47">
                  <c:v>2.7017146138636008</c:v>
                </c:pt>
                <c:pt idx="48">
                  <c:v>-7.9961461589871305</c:v>
                </c:pt>
              </c:numCache>
            </c:numRef>
          </c:val>
          <c:extLst>
            <c:ext xmlns:c16="http://schemas.microsoft.com/office/drawing/2014/chart" uri="{C3380CC4-5D6E-409C-BE32-E72D297353CC}">
              <c16:uniqueId val="{00000000-1287-476C-B68F-250FE68243EE}"/>
            </c:ext>
          </c:extLst>
        </c:ser>
        <c:dLbls>
          <c:dLblPos val="outEnd"/>
          <c:showLegendKey val="0"/>
          <c:showVal val="1"/>
          <c:showCatName val="0"/>
          <c:showSerName val="0"/>
          <c:showPercent val="0"/>
          <c:showBubbleSize val="0"/>
        </c:dLbls>
        <c:gapWidth val="219"/>
        <c:overlap val="-27"/>
        <c:axId val="55998191"/>
        <c:axId val="55996943"/>
        <c:extLst/>
      </c:barChart>
      <c:catAx>
        <c:axId val="5599819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Variazioni</a:t>
            </a:r>
            <a:r>
              <a:rPr lang="it-IT" baseline="0"/>
              <a:t> delle emissioni specifiche nette fra il 2011 e il 2019 (NOx)</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8"/>
          <c:order val="0"/>
          <c:tx>
            <c:v>Variazioni delle emissioni specifiche</c:v>
          </c:tx>
          <c:spPr>
            <a:solidFill>
              <a:schemeClr val="accent5">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'Analisi dati, formula corretta'!$CD$4:$CD$52</c:f>
              <c:numCache>
                <c:formatCode>#,##0.000</c:formatCode>
                <c:ptCount val="49"/>
                <c:pt idx="0">
                  <c:v>2.1499154985585064E-2</c:v>
                </c:pt>
                <c:pt idx="1">
                  <c:v>1.6228766188881708E-2</c:v>
                </c:pt>
                <c:pt idx="2">
                  <c:v>4.5077447805067505E-3</c:v>
                </c:pt>
                <c:pt idx="3">
                  <c:v>-4.7856345907791586E-3</c:v>
                </c:pt>
                <c:pt idx="4">
                  <c:v>-0.14383542538354255</c:v>
                </c:pt>
                <c:pt idx="5">
                  <c:v>-6.8263860785107294E-3</c:v>
                </c:pt>
                <c:pt idx="6">
                  <c:v>-9.4797259482032215E-2</c:v>
                </c:pt>
                <c:pt idx="7">
                  <c:v>-1.1977202319657931E-3</c:v>
                </c:pt>
                <c:pt idx="8">
                  <c:v>-0.20754267977237456</c:v>
                </c:pt>
                <c:pt idx="9">
                  <c:v>-6.8569236657618104E-2</c:v>
                </c:pt>
                <c:pt idx="10">
                  <c:v>-3.4902512001776659E-3</c:v>
                </c:pt>
                <c:pt idx="11">
                  <c:v>-1.7389029299665546</c:v>
                </c:pt>
                <c:pt idx="12">
                  <c:v>2.36079632959664E-2</c:v>
                </c:pt>
                <c:pt idx="13">
                  <c:v>-0.12694298059262932</c:v>
                </c:pt>
                <c:pt idx="14">
                  <c:v>-5.1701279653153631E-2</c:v>
                </c:pt>
                <c:pt idx="15">
                  <c:v>2.2949611114067514E-2</c:v>
                </c:pt>
                <c:pt idx="16">
                  <c:v>-7.8152229722641964E-3</c:v>
                </c:pt>
                <c:pt idx="17">
                  <c:v>-2.9606046294903515E-2</c:v>
                </c:pt>
                <c:pt idx="18">
                  <c:v>-2.5801548381527525E-2</c:v>
                </c:pt>
                <c:pt idx="19">
                  <c:v>2.1937348175695051E-2</c:v>
                </c:pt>
                <c:pt idx="20">
                  <c:v>-9.0393594796309706E-3</c:v>
                </c:pt>
                <c:pt idx="21">
                  <c:v>-0.1047133704547111</c:v>
                </c:pt>
                <c:pt idx="22">
                  <c:v>6.9561974512271807E-2</c:v>
                </c:pt>
                <c:pt idx="23">
                  <c:v>-7.1507797349334157E-3</c:v>
                </c:pt>
                <c:pt idx="24">
                  <c:v>1.4318271604679002E-2</c:v>
                </c:pt>
                <c:pt idx="25">
                  <c:v>6.8237952848670805E-2</c:v>
                </c:pt>
                <c:pt idx="26">
                  <c:v>-2.01829856759147E-2</c:v>
                </c:pt>
                <c:pt idx="27">
                  <c:v>-1.1132493447524684E-2</c:v>
                </c:pt>
                <c:pt idx="28">
                  <c:v>-6.9936515447250658E-2</c:v>
                </c:pt>
                <c:pt idx="29">
                  <c:v>-7.6533308252103083E-2</c:v>
                </c:pt>
                <c:pt idx="30">
                  <c:v>1.2616570288324427E-2</c:v>
                </c:pt>
                <c:pt idx="31">
                  <c:v>-4.6568676419174587E-3</c:v>
                </c:pt>
                <c:pt idx="32">
                  <c:v>2.7869160368587442E-2</c:v>
                </c:pt>
                <c:pt idx="33">
                  <c:v>-7.7185446794179852E-2</c:v>
                </c:pt>
                <c:pt idx="34">
                  <c:v>1.5455429297947437E-2</c:v>
                </c:pt>
                <c:pt idx="35">
                  <c:v>3.034236761097333E-2</c:v>
                </c:pt>
                <c:pt idx="36">
                  <c:v>4.5591170126389968E-2</c:v>
                </c:pt>
                <c:pt idx="37">
                  <c:v>-5.2211473371747183E-2</c:v>
                </c:pt>
                <c:pt idx="38">
                  <c:v>-3.4426983178275139E-2</c:v>
                </c:pt>
                <c:pt idx="39">
                  <c:v>3.3867412682265195E-3</c:v>
                </c:pt>
                <c:pt idx="40">
                  <c:v>1.9550305626670275E-2</c:v>
                </c:pt>
                <c:pt idx="41">
                  <c:v>-0.17756045744717952</c:v>
                </c:pt>
                <c:pt idx="42">
                  <c:v>-3.7227068126761215E-2</c:v>
                </c:pt>
                <c:pt idx="43">
                  <c:v>-1.9941281442774045E-2</c:v>
                </c:pt>
                <c:pt idx="44">
                  <c:v>-1.4261448802007484E-2</c:v>
                </c:pt>
                <c:pt idx="45">
                  <c:v>-9.5391458895300443E-2</c:v>
                </c:pt>
                <c:pt idx="46">
                  <c:v>2.38599112329934E-2</c:v>
                </c:pt>
                <c:pt idx="47">
                  <c:v>7.5665380403238947E-3</c:v>
                </c:pt>
                <c:pt idx="48">
                  <c:v>-5.1396088642344809E-2</c:v>
                </c:pt>
              </c:numCache>
            </c:numRef>
          </c:val>
          <c:extLst>
            <c:ext xmlns:c16="http://schemas.microsoft.com/office/drawing/2014/chart" uri="{C3380CC4-5D6E-409C-BE32-E72D297353CC}">
              <c16:uniqueId val="{00000000-17AA-44FA-AA92-D95DBD34AF26}"/>
            </c:ext>
          </c:extLst>
        </c:ser>
        <c:dLbls>
          <c:dLblPos val="outEnd"/>
          <c:showLegendKey val="0"/>
          <c:showVal val="1"/>
          <c:showCatName val="0"/>
          <c:showSerName val="0"/>
          <c:showPercent val="0"/>
          <c:showBubbleSize val="0"/>
        </c:dLbls>
        <c:gapWidth val="219"/>
        <c:overlap val="-27"/>
        <c:axId val="55998191"/>
        <c:axId val="55996943"/>
        <c:extLst/>
      </c:barChart>
      <c:catAx>
        <c:axId val="5599819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Variazioni</a:t>
            </a:r>
            <a:r>
              <a:rPr lang="it-IT" baseline="0"/>
              <a:t> delle emissioni specifiche nette fra il 2011 e il 2019 (CO)</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8"/>
          <c:order val="0"/>
          <c:tx>
            <c:v>Variazioni delle emissioni specifiche</c:v>
          </c:tx>
          <c:spPr>
            <a:solidFill>
              <a:schemeClr val="accent5">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'Analisi dati, formula corretta'!$DA$4:$DA$52</c:f>
              <c:numCache>
                <c:formatCode>#,##0.00000</c:formatCode>
                <c:ptCount val="49"/>
                <c:pt idx="0">
                  <c:v>1.784809623222984E-2</c:v>
                </c:pt>
                <c:pt idx="1">
                  <c:v>1.1575752471438747E-2</c:v>
                </c:pt>
                <c:pt idx="2">
                  <c:v>1.2487722262166739E-2</c:v>
                </c:pt>
                <c:pt idx="3">
                  <c:v>-7.5569174592661117E-2</c:v>
                </c:pt>
                <c:pt idx="4">
                  <c:v>0</c:v>
                </c:pt>
                <c:pt idx="5">
                  <c:v>1.0996225988913255E-2</c:v>
                </c:pt>
                <c:pt idx="6">
                  <c:v>5.6101127327072425E-2</c:v>
                </c:pt>
                <c:pt idx="7">
                  <c:v>-4.7556888558830616E-3</c:v>
                </c:pt>
                <c:pt idx="8">
                  <c:v>-1.1202436805394508E-2</c:v>
                </c:pt>
                <c:pt idx="9">
                  <c:v>-1.8533424227739768E-2</c:v>
                </c:pt>
                <c:pt idx="10">
                  <c:v>1.1065317116719514E-3</c:v>
                </c:pt>
                <c:pt idx="11">
                  <c:v>-7.878303041065976E-2</c:v>
                </c:pt>
                <c:pt idx="12">
                  <c:v>2.7674625303929945E-2</c:v>
                </c:pt>
                <c:pt idx="13">
                  <c:v>-0.17586381382120589</c:v>
                </c:pt>
                <c:pt idx="14">
                  <c:v>-2.0409849024494664E-2</c:v>
                </c:pt>
                <c:pt idx="15">
                  <c:v>6.089561300909381E-3</c:v>
                </c:pt>
                <c:pt idx="16">
                  <c:v>-0.18491741489318822</c:v>
                </c:pt>
                <c:pt idx="17">
                  <c:v>4.6843774092070266E-2</c:v>
                </c:pt>
                <c:pt idx="18">
                  <c:v>1.4136877207601196E-2</c:v>
                </c:pt>
                <c:pt idx="19">
                  <c:v>2.0603385265498594E-3</c:v>
                </c:pt>
                <c:pt idx="20">
                  <c:v>2.2402004859243537E-2</c:v>
                </c:pt>
                <c:pt idx="21">
                  <c:v>-4.9545791157650537E-2</c:v>
                </c:pt>
                <c:pt idx="22">
                  <c:v>2.3012626159268322E-2</c:v>
                </c:pt>
                <c:pt idx="23">
                  <c:v>-8.5554388911102383E-2</c:v>
                </c:pt>
                <c:pt idx="24">
                  <c:v>1.1906479968331791E-2</c:v>
                </c:pt>
                <c:pt idx="25">
                  <c:v>-8.289580751397168E-4</c:v>
                </c:pt>
                <c:pt idx="26">
                  <c:v>-3.2398909463152055E-3</c:v>
                </c:pt>
                <c:pt idx="27">
                  <c:v>1.5219020157176032E-2</c:v>
                </c:pt>
                <c:pt idx="28">
                  <c:v>2.050432759606478E-4</c:v>
                </c:pt>
                <c:pt idx="29">
                  <c:v>-5.1565615941890783E-2</c:v>
                </c:pt>
                <c:pt idx="30">
                  <c:v>1.1628243646396055E-2</c:v>
                </c:pt>
                <c:pt idx="31">
                  <c:v>-2.9076568956782456E-2</c:v>
                </c:pt>
                <c:pt idx="32">
                  <c:v>-2.0492121984674448E-2</c:v>
                </c:pt>
                <c:pt idx="33">
                  <c:v>-9.6640113227671222E-3</c:v>
                </c:pt>
                <c:pt idx="34">
                  <c:v>-2.3579165738618572E-2</c:v>
                </c:pt>
                <c:pt idx="35">
                  <c:v>-6.1389360116615183E-3</c:v>
                </c:pt>
                <c:pt idx="36">
                  <c:v>2.6393540694649942E-2</c:v>
                </c:pt>
                <c:pt idx="37">
                  <c:v>-1.0389902011532434E-3</c:v>
                </c:pt>
                <c:pt idx="38">
                  <c:v>-1.8176869783894913E-2</c:v>
                </c:pt>
                <c:pt idx="39">
                  <c:v>-0.36477831468294331</c:v>
                </c:pt>
                <c:pt idx="40">
                  <c:v>-0.24947819119992443</c:v>
                </c:pt>
                <c:pt idx="41">
                  <c:v>-6.7998525594440154E-2</c:v>
                </c:pt>
                <c:pt idx="42">
                  <c:v>-0.46833288177533522</c:v>
                </c:pt>
                <c:pt idx="43">
                  <c:v>2.283028973897698E-4</c:v>
                </c:pt>
                <c:pt idx="44">
                  <c:v>-0.23739739116048311</c:v>
                </c:pt>
                <c:pt idx="45">
                  <c:v>2.1234600820113948E-2</c:v>
                </c:pt>
                <c:pt idx="46">
                  <c:v>-7.8878647643866075E-4</c:v>
                </c:pt>
                <c:pt idx="47">
                  <c:v>-8.5978129428860309E-2</c:v>
                </c:pt>
                <c:pt idx="48">
                  <c:v>-0.12542698285642179</c:v>
                </c:pt>
              </c:numCache>
            </c:numRef>
          </c:val>
          <c:extLst>
            <c:ext xmlns:c16="http://schemas.microsoft.com/office/drawing/2014/chart" uri="{C3380CC4-5D6E-409C-BE32-E72D297353CC}">
              <c16:uniqueId val="{00000000-58E8-4FCD-BB35-1F9368117E36}"/>
            </c:ext>
          </c:extLst>
        </c:ser>
        <c:dLbls>
          <c:dLblPos val="outEnd"/>
          <c:showLegendKey val="0"/>
          <c:showVal val="1"/>
          <c:showCatName val="0"/>
          <c:showSerName val="0"/>
          <c:showPercent val="0"/>
          <c:showBubbleSize val="0"/>
        </c:dLbls>
        <c:gapWidth val="219"/>
        <c:overlap val="-27"/>
        <c:axId val="55998191"/>
        <c:axId val="55996943"/>
        <c:extLst/>
      </c:barChart>
      <c:catAx>
        <c:axId val="5599819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Variazioni</a:t>
            </a:r>
            <a:r>
              <a:rPr lang="it-IT" baseline="0"/>
              <a:t> delle emissioni specifiche nette fra il 2011 e il 2019 (SOx)</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8"/>
          <c:order val="0"/>
          <c:tx>
            <c:v>Variazioni delle emissioni specifiche</c:v>
          </c:tx>
          <c:spPr>
            <a:solidFill>
              <a:schemeClr val="accent5">
                <a:lumMod val="80000"/>
                <a:lumOff val="2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4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numLit>
          </c:cat>
          <c:val>
            <c:numRef>
              <c:f>'Analisi dati, formula corretta'!$DX$4:$DX$52</c:f>
              <c:numCache>
                <c:formatCode>#,##0.00</c:formatCode>
                <c:ptCount val="49"/>
                <c:pt idx="0">
                  <c:v>0</c:v>
                </c:pt>
                <c:pt idx="1">
                  <c:v>0</c:v>
                </c:pt>
                <c:pt idx="2" formatCode="#,##0.0000000">
                  <c:v>4.0866841216877198E-2</c:v>
                </c:pt>
                <c:pt idx="3" formatCode="#,##0.00000">
                  <c:v>0</c:v>
                </c:pt>
                <c:pt idx="4" formatCode="#,##0.0000000">
                  <c:v>-9.9149232914923308E-2</c:v>
                </c:pt>
                <c:pt idx="5" formatCode="#,##0.0000000">
                  <c:v>-2.9E-4</c:v>
                </c:pt>
                <c:pt idx="6" formatCode="#,##0.0000000">
                  <c:v>-0.46325577962693043</c:v>
                </c:pt>
                <c:pt idx="7" formatCode="#,##0.00000">
                  <c:v>0</c:v>
                </c:pt>
                <c:pt idx="8" formatCode="#,##0.0000000">
                  <c:v>-4.8391101914123102E-2</c:v>
                </c:pt>
                <c:pt idx="9" formatCode="#,##0.00000">
                  <c:v>0</c:v>
                </c:pt>
                <c:pt idx="10" formatCode="#,##0.00000">
                  <c:v>0</c:v>
                </c:pt>
                <c:pt idx="11" formatCode="#,##0.00000">
                  <c:v>0</c:v>
                </c:pt>
                <c:pt idx="12" formatCode="#,##0.0000000">
                  <c:v>-1.1884953648680771E-6</c:v>
                </c:pt>
                <c:pt idx="13" formatCode="#,##0.0000000">
                  <c:v>-0.42027749250040836</c:v>
                </c:pt>
                <c:pt idx="14" formatCode="#,##0.0000000">
                  <c:v>-0.25481550102823458</c:v>
                </c:pt>
                <c:pt idx="15" formatCode="#,##0.00000">
                  <c:v>0</c:v>
                </c:pt>
                <c:pt idx="16" formatCode="#,##0.00000">
                  <c:v>0</c:v>
                </c:pt>
                <c:pt idx="17" formatCode="#,##0.00000">
                  <c:v>0</c:v>
                </c:pt>
                <c:pt idx="18" formatCode="#,##0.00000">
                  <c:v>0</c:v>
                </c:pt>
                <c:pt idx="19" formatCode="#,##0.00000">
                  <c:v>0</c:v>
                </c:pt>
                <c:pt idx="20" formatCode="#,##0.00000">
                  <c:v>0</c:v>
                </c:pt>
                <c:pt idx="21" formatCode="#,##0.00000">
                  <c:v>0</c:v>
                </c:pt>
                <c:pt idx="22" formatCode="#,##0.00000">
                  <c:v>0</c:v>
                </c:pt>
                <c:pt idx="23" formatCode="#,##0.00000">
                  <c:v>0</c:v>
                </c:pt>
                <c:pt idx="24" formatCode="#,##0.00000">
                  <c:v>0</c:v>
                </c:pt>
                <c:pt idx="25" formatCode="#,##0.00000">
                  <c:v>0</c:v>
                </c:pt>
                <c:pt idx="26" formatCode="#,##0.0000000">
                  <c:v>-1.3077991951265249E-3</c:v>
                </c:pt>
                <c:pt idx="27" formatCode="#,##0.00000">
                  <c:v>0</c:v>
                </c:pt>
                <c:pt idx="28" formatCode="#,##0.00000">
                  <c:v>0</c:v>
                </c:pt>
                <c:pt idx="29" formatCode="#,##0.00000">
                  <c:v>0</c:v>
                </c:pt>
                <c:pt idx="30" formatCode="#,##0.00000">
                  <c:v>0</c:v>
                </c:pt>
                <c:pt idx="31" formatCode="#,##0.0000000">
                  <c:v>8.7546641072446191E-4</c:v>
                </c:pt>
                <c:pt idx="32" formatCode="#,##0.0000000">
                  <c:v>3.8595600517730921E-2</c:v>
                </c:pt>
                <c:pt idx="33" formatCode="#,##0.00000">
                  <c:v>0</c:v>
                </c:pt>
                <c:pt idx="34" formatCode="#,##0.00000">
                  <c:v>0</c:v>
                </c:pt>
                <c:pt idx="35" formatCode="#,##0.00000">
                  <c:v>0</c:v>
                </c:pt>
                <c:pt idx="36" formatCode="#,##0.0000000">
                  <c:v>-2.2512832979548786E-2</c:v>
                </c:pt>
                <c:pt idx="37" formatCode="#,##0.00000">
                  <c:v>0</c:v>
                </c:pt>
                <c:pt idx="38" formatCode="#,##0.00000">
                  <c:v>0</c:v>
                </c:pt>
                <c:pt idx="39" formatCode="#,##0.00000">
                  <c:v>0</c:v>
                </c:pt>
                <c:pt idx="40" formatCode="#,##0.00000">
                  <c:v>0</c:v>
                </c:pt>
                <c:pt idx="41" formatCode="#,##0.0000000">
                  <c:v>-0.36363154310629586</c:v>
                </c:pt>
                <c:pt idx="42" formatCode="#,##0.00000">
                  <c:v>0</c:v>
                </c:pt>
                <c:pt idx="43" formatCode="#,##0.0000000">
                  <c:v>-0.10703794974673857</c:v>
                </c:pt>
                <c:pt idx="44">
                  <c:v>0</c:v>
                </c:pt>
                <c:pt idx="45">
                  <c:v>0</c:v>
                </c:pt>
                <c:pt idx="46">
                  <c:v>0</c:v>
                </c:pt>
                <c:pt idx="47">
                  <c:v>0</c:v>
                </c:pt>
                <c:pt idx="48">
                  <c:v>0</c:v>
                </c:pt>
              </c:numCache>
            </c:numRef>
          </c:val>
          <c:extLst>
            <c:ext xmlns:c16="http://schemas.microsoft.com/office/drawing/2014/chart" uri="{C3380CC4-5D6E-409C-BE32-E72D297353CC}">
              <c16:uniqueId val="{00000000-4A37-41BC-9CB7-B4D86E124E6F}"/>
            </c:ext>
          </c:extLst>
        </c:ser>
        <c:dLbls>
          <c:dLblPos val="outEnd"/>
          <c:showLegendKey val="0"/>
          <c:showVal val="1"/>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Emissioni totali in atmosfera fra il 2011 e il 2019 (t di CO</a:t>
            </a:r>
            <a:r>
              <a:rPr lang="it-IT" baseline="-25000"/>
              <a:t>2</a:t>
            </a:r>
            <a:r>
              <a:rPr lang="it-IT"/>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8"/>
          <c:order val="0"/>
          <c:tx>
            <c:v>Emissioni totali in atmosfera</c:v>
          </c:tx>
          <c:spPr>
            <a:solidFill>
              <a:schemeClr val="accent6">
                <a:tint val="44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'Analisi dati, formula corretta'!$BC$4:$BC$52</c:f>
              <c:numCache>
                <c:formatCode>#,##0.00</c:formatCode>
                <c:ptCount val="49"/>
                <c:pt idx="0">
                  <c:v>4720600</c:v>
                </c:pt>
                <c:pt idx="1">
                  <c:v>4450868</c:v>
                </c:pt>
                <c:pt idx="2">
                  <c:v>84042475</c:v>
                </c:pt>
                <c:pt idx="3">
                  <c:v>9205975</c:v>
                </c:pt>
                <c:pt idx="4">
                  <c:v>1959244</c:v>
                </c:pt>
                <c:pt idx="5">
                  <c:v>3084504</c:v>
                </c:pt>
                <c:pt idx="6">
                  <c:v>12109183</c:v>
                </c:pt>
                <c:pt idx="7">
                  <c:v>4352938.3</c:v>
                </c:pt>
                <c:pt idx="8">
                  <c:v>18305361</c:v>
                </c:pt>
                <c:pt idx="9">
                  <c:v>4652097.9000000004</c:v>
                </c:pt>
                <c:pt idx="10">
                  <c:v>5066988</c:v>
                </c:pt>
                <c:pt idx="11">
                  <c:v>731800</c:v>
                </c:pt>
                <c:pt idx="12">
                  <c:v>10253000</c:v>
                </c:pt>
                <c:pt idx="13">
                  <c:v>21713661</c:v>
                </c:pt>
                <c:pt idx="14">
                  <c:v>29087000</c:v>
                </c:pt>
                <c:pt idx="15">
                  <c:v>3859390</c:v>
                </c:pt>
                <c:pt idx="16">
                  <c:v>2171072</c:v>
                </c:pt>
                <c:pt idx="17">
                  <c:v>6198533.1140000001</c:v>
                </c:pt>
                <c:pt idx="18">
                  <c:v>12228002</c:v>
                </c:pt>
                <c:pt idx="19">
                  <c:v>4143698</c:v>
                </c:pt>
                <c:pt idx="20">
                  <c:v>2725015</c:v>
                </c:pt>
                <c:pt idx="21">
                  <c:v>1763903</c:v>
                </c:pt>
                <c:pt idx="22">
                  <c:v>1204413</c:v>
                </c:pt>
                <c:pt idx="23">
                  <c:v>515819</c:v>
                </c:pt>
                <c:pt idx="24">
                  <c:v>1137146</c:v>
                </c:pt>
                <c:pt idx="25">
                  <c:v>3940719</c:v>
                </c:pt>
                <c:pt idx="26">
                  <c:v>1411257</c:v>
                </c:pt>
                <c:pt idx="27">
                  <c:v>331718</c:v>
                </c:pt>
                <c:pt idx="28">
                  <c:v>4131000</c:v>
                </c:pt>
                <c:pt idx="29">
                  <c:v>463330</c:v>
                </c:pt>
                <c:pt idx="30">
                  <c:v>12947853</c:v>
                </c:pt>
                <c:pt idx="31">
                  <c:v>620231.19999999995</c:v>
                </c:pt>
                <c:pt idx="32">
                  <c:v>53231363.5</c:v>
                </c:pt>
                <c:pt idx="33">
                  <c:v>2723286</c:v>
                </c:pt>
                <c:pt idx="34">
                  <c:v>4909808</c:v>
                </c:pt>
                <c:pt idx="35">
                  <c:v>4577247</c:v>
                </c:pt>
                <c:pt idx="36">
                  <c:v>23295</c:v>
                </c:pt>
                <c:pt idx="37">
                  <c:v>3804240.4</c:v>
                </c:pt>
                <c:pt idx="38">
                  <c:v>3310309</c:v>
                </c:pt>
                <c:pt idx="39">
                  <c:v>6071570</c:v>
                </c:pt>
                <c:pt idx="40">
                  <c:v>6230861</c:v>
                </c:pt>
                <c:pt idx="41">
                  <c:v>85279744</c:v>
                </c:pt>
                <c:pt idx="42">
                  <c:v>9315294</c:v>
                </c:pt>
                <c:pt idx="43">
                  <c:v>11466079</c:v>
                </c:pt>
                <c:pt idx="44">
                  <c:v>3944788</c:v>
                </c:pt>
                <c:pt idx="45">
                  <c:v>2920090</c:v>
                </c:pt>
                <c:pt idx="46">
                  <c:v>672033</c:v>
                </c:pt>
                <c:pt idx="47">
                  <c:v>4691565</c:v>
                </c:pt>
                <c:pt idx="48">
                  <c:v>5449282</c:v>
                </c:pt>
              </c:numCache>
            </c:numRef>
          </c:val>
          <c:extLst>
            <c:ext xmlns:c16="http://schemas.microsoft.com/office/drawing/2014/chart" uri="{C3380CC4-5D6E-409C-BE32-E72D297353CC}">
              <c16:uniqueId val="{00000000-1339-4974-B711-DE664DEBEA09}"/>
            </c:ext>
          </c:extLst>
        </c:ser>
        <c:dLbls>
          <c:dLblPos val="outEnd"/>
          <c:showLegendKey val="0"/>
          <c:showVal val="1"/>
          <c:showCatName val="0"/>
          <c:showSerName val="0"/>
          <c:showPercent val="0"/>
          <c:showBubbleSize val="0"/>
        </c:dLbls>
        <c:gapWidth val="219"/>
        <c:overlap val="-27"/>
        <c:axId val="55998191"/>
        <c:axId val="55996943"/>
        <c:extLst/>
      </c:barChart>
      <c:catAx>
        <c:axId val="5599819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logBase val="10"/>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Emissioni specifiche medie in atmosfera fra il 2011 e il 2019 (t/GWhe di CO</a:t>
            </a:r>
            <a:r>
              <a:rPr lang="it-IT" baseline="-25000"/>
              <a:t>2</a:t>
            </a:r>
            <a:r>
              <a:rPr lang="it-IT"/>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8"/>
          <c:order val="0"/>
          <c:tx>
            <c:v>Emissioni specifiche totali in atmosfera</c:v>
          </c:tx>
          <c:spPr>
            <a:solidFill>
              <a:schemeClr val="accent1">
                <a:shade val="44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'Analisi dati, formula corretta'!$BD$4:$BD$52</c:f>
              <c:numCache>
                <c:formatCode>#,##0.00</c:formatCode>
                <c:ptCount val="49"/>
                <c:pt idx="0">
                  <c:v>412.48822944392913</c:v>
                </c:pt>
                <c:pt idx="1">
                  <c:v>405.59560448732549</c:v>
                </c:pt>
                <c:pt idx="2">
                  <c:v>893.20992655413545</c:v>
                </c:pt>
                <c:pt idx="3">
                  <c:v>393.50251322344127</c:v>
                </c:pt>
                <c:pt idx="4">
                  <c:v>366.8704430436639</c:v>
                </c:pt>
                <c:pt idx="5">
                  <c:v>397.88662880244271</c:v>
                </c:pt>
                <c:pt idx="6">
                  <c:v>960.39336421675114</c:v>
                </c:pt>
                <c:pt idx="7">
                  <c:v>411.42417842821567</c:v>
                </c:pt>
                <c:pt idx="8">
                  <c:v>897.66081791409545</c:v>
                </c:pt>
                <c:pt idx="9">
                  <c:v>392.91780726591213</c:v>
                </c:pt>
                <c:pt idx="10">
                  <c:v>390.69879162115507</c:v>
                </c:pt>
                <c:pt idx="11">
                  <c:v>720.5127543847143</c:v>
                </c:pt>
                <c:pt idx="12">
                  <c:v>408.19837662683148</c:v>
                </c:pt>
                <c:pt idx="13">
                  <c:v>982.23669544986524</c:v>
                </c:pt>
                <c:pt idx="14">
                  <c:v>994.91316904449616</c:v>
                </c:pt>
                <c:pt idx="15">
                  <c:v>412.89437853630852</c:v>
                </c:pt>
                <c:pt idx="16">
                  <c:v>399.19604741558345</c:v>
                </c:pt>
                <c:pt idx="17">
                  <c:v>373.1212451764128</c:v>
                </c:pt>
                <c:pt idx="18">
                  <c:v>281.72853941088619</c:v>
                </c:pt>
                <c:pt idx="19">
                  <c:v>405.75071247137146</c:v>
                </c:pt>
                <c:pt idx="20">
                  <c:v>424.70861382435908</c:v>
                </c:pt>
                <c:pt idx="21">
                  <c:v>249.25674816953304</c:v>
                </c:pt>
                <c:pt idx="22">
                  <c:v>253.54042100318071</c:v>
                </c:pt>
                <c:pt idx="23">
                  <c:v>279.06499734973318</c:v>
                </c:pt>
                <c:pt idx="24">
                  <c:v>322.04438536445537</c:v>
                </c:pt>
                <c:pt idx="25">
                  <c:v>404.1747756321754</c:v>
                </c:pt>
                <c:pt idx="26">
                  <c:v>527.31309648480726</c:v>
                </c:pt>
                <c:pt idx="27">
                  <c:v>240.08791738407677</c:v>
                </c:pt>
                <c:pt idx="28">
                  <c:v>405.10914576402172</c:v>
                </c:pt>
                <c:pt idx="29">
                  <c:v>260.88247391775445</c:v>
                </c:pt>
                <c:pt idx="30">
                  <c:v>386.44986873650538</c:v>
                </c:pt>
                <c:pt idx="31">
                  <c:v>307.83299561490679</c:v>
                </c:pt>
                <c:pt idx="32">
                  <c:v>1475.578724584735</c:v>
                </c:pt>
                <c:pt idx="33">
                  <c:v>317.36217009549603</c:v>
                </c:pt>
                <c:pt idx="34">
                  <c:v>376.85693410520241</c:v>
                </c:pt>
                <c:pt idx="35">
                  <c:v>406.67402574836547</c:v>
                </c:pt>
                <c:pt idx="36">
                  <c:v>199.37649766829045</c:v>
                </c:pt>
                <c:pt idx="37">
                  <c:v>382.07280544349817</c:v>
                </c:pt>
                <c:pt idx="38">
                  <c:v>392.37663919959516</c:v>
                </c:pt>
                <c:pt idx="39">
                  <c:v>323.52319073373394</c:v>
                </c:pt>
                <c:pt idx="40">
                  <c:v>369.67014774184707</c:v>
                </c:pt>
                <c:pt idx="41">
                  <c:v>1009.6852730523401</c:v>
                </c:pt>
                <c:pt idx="42">
                  <c:v>380.55696645484659</c:v>
                </c:pt>
                <c:pt idx="43">
                  <c:v>426.25873617393569</c:v>
                </c:pt>
                <c:pt idx="44">
                  <c:v>397.80482167033631</c:v>
                </c:pt>
                <c:pt idx="45">
                  <c:v>294.04458227477198</c:v>
                </c:pt>
                <c:pt idx="46">
                  <c:v>455.32815417351475</c:v>
                </c:pt>
                <c:pt idx="47">
                  <c:v>377.82286870115081</c:v>
                </c:pt>
                <c:pt idx="48">
                  <c:v>375.475282107456</c:v>
                </c:pt>
              </c:numCache>
            </c:numRef>
          </c:val>
          <c:extLst>
            <c:ext xmlns:c16="http://schemas.microsoft.com/office/drawing/2014/chart" uri="{C3380CC4-5D6E-409C-BE32-E72D297353CC}">
              <c16:uniqueId val="{00000000-2CFB-4D8E-9659-B375EECD1466}"/>
            </c:ext>
          </c:extLst>
        </c:ser>
        <c:dLbls>
          <c:dLblPos val="outEnd"/>
          <c:showLegendKey val="0"/>
          <c:showVal val="1"/>
          <c:showCatName val="0"/>
          <c:showSerName val="0"/>
          <c:showPercent val="0"/>
          <c:showBubbleSize val="0"/>
        </c:dLbls>
        <c:gapWidth val="219"/>
        <c:overlap val="-27"/>
        <c:axId val="55998191"/>
        <c:axId val="55996943"/>
        <c:extLst/>
      </c:barChart>
      <c:catAx>
        <c:axId val="5599819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Emissioni totali in atmosfera fra il 2011 e il 2019 (t di NOx)</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8"/>
          <c:order val="0"/>
          <c:tx>
            <c:v>Emissioni totali in atmosfera</c:v>
          </c:tx>
          <c:spPr>
            <a:solidFill>
              <a:schemeClr val="accent6">
                <a:tint val="44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'Analisi dati, formula corretta'!$CB$4:$CB$52</c:f>
              <c:numCache>
                <c:formatCode>#,##0.000</c:formatCode>
                <c:ptCount val="49"/>
                <c:pt idx="0">
                  <c:v>1503</c:v>
                </c:pt>
                <c:pt idx="1">
                  <c:v>1347</c:v>
                </c:pt>
                <c:pt idx="2">
                  <c:v>23856</c:v>
                </c:pt>
                <c:pt idx="3">
                  <c:v>3371.7999999999997</c:v>
                </c:pt>
                <c:pt idx="4">
                  <c:v>934.4</c:v>
                </c:pt>
                <c:pt idx="5">
                  <c:v>813.55</c:v>
                </c:pt>
                <c:pt idx="6">
                  <c:v>9084</c:v>
                </c:pt>
                <c:pt idx="7">
                  <c:v>1375.8890000000004</c:v>
                </c:pt>
                <c:pt idx="8">
                  <c:v>8804</c:v>
                </c:pt>
                <c:pt idx="9">
                  <c:v>1833.6999999999998</c:v>
                </c:pt>
                <c:pt idx="10">
                  <c:v>1626.5829999999999</c:v>
                </c:pt>
                <c:pt idx="11">
                  <c:v>509.9</c:v>
                </c:pt>
                <c:pt idx="12">
                  <c:v>3683.7000000000003</c:v>
                </c:pt>
                <c:pt idx="13">
                  <c:v>14298</c:v>
                </c:pt>
                <c:pt idx="14">
                  <c:v>19179</c:v>
                </c:pt>
                <c:pt idx="15">
                  <c:v>929.59999999999991</c:v>
                </c:pt>
                <c:pt idx="16">
                  <c:v>729.39999999999986</c:v>
                </c:pt>
                <c:pt idx="17">
                  <c:v>1554.1944400000002</c:v>
                </c:pt>
                <c:pt idx="18">
                  <c:v>3226.5</c:v>
                </c:pt>
                <c:pt idx="19">
                  <c:v>1062.462</c:v>
                </c:pt>
                <c:pt idx="20">
                  <c:v>846.65</c:v>
                </c:pt>
                <c:pt idx="21">
                  <c:v>1169.366</c:v>
                </c:pt>
                <c:pt idx="22">
                  <c:v>875.58</c:v>
                </c:pt>
                <c:pt idx="23">
                  <c:v>213.38</c:v>
                </c:pt>
                <c:pt idx="24">
                  <c:v>52.167999999999999</c:v>
                </c:pt>
                <c:pt idx="25">
                  <c:v>1200.8</c:v>
                </c:pt>
                <c:pt idx="26">
                  <c:v>473.38</c:v>
                </c:pt>
                <c:pt idx="27">
                  <c:v>99.67</c:v>
                </c:pt>
                <c:pt idx="28">
                  <c:v>847.2</c:v>
                </c:pt>
                <c:pt idx="29">
                  <c:v>255.99</c:v>
                </c:pt>
                <c:pt idx="30">
                  <c:v>3707</c:v>
                </c:pt>
                <c:pt idx="31">
                  <c:v>205.22740000000002</c:v>
                </c:pt>
                <c:pt idx="32">
                  <c:v>17893.300000000003</c:v>
                </c:pt>
                <c:pt idx="33">
                  <c:v>750.19</c:v>
                </c:pt>
                <c:pt idx="34">
                  <c:v>1147.0800000000002</c:v>
                </c:pt>
                <c:pt idx="35">
                  <c:v>735.2360000000001</c:v>
                </c:pt>
                <c:pt idx="36">
                  <c:v>58.863233999999999</c:v>
                </c:pt>
                <c:pt idx="37">
                  <c:v>1074.8000000000002</c:v>
                </c:pt>
                <c:pt idx="38">
                  <c:v>867.11</c:v>
                </c:pt>
                <c:pt idx="39">
                  <c:v>681.7</c:v>
                </c:pt>
                <c:pt idx="40">
                  <c:v>1715.0000000000002</c:v>
                </c:pt>
                <c:pt idx="41">
                  <c:v>44587</c:v>
                </c:pt>
                <c:pt idx="42">
                  <c:v>2740.9700000000003</c:v>
                </c:pt>
                <c:pt idx="43">
                  <c:v>3781.45</c:v>
                </c:pt>
                <c:pt idx="44">
                  <c:v>1058.7391</c:v>
                </c:pt>
                <c:pt idx="45">
                  <c:v>1545</c:v>
                </c:pt>
                <c:pt idx="46">
                  <c:v>205.34999999999997</c:v>
                </c:pt>
                <c:pt idx="47">
                  <c:v>1382.8568</c:v>
                </c:pt>
                <c:pt idx="48">
                  <c:v>1502.1109999999996</c:v>
                </c:pt>
              </c:numCache>
            </c:numRef>
          </c:val>
          <c:extLst>
            <c:ext xmlns:c16="http://schemas.microsoft.com/office/drawing/2014/chart" uri="{C3380CC4-5D6E-409C-BE32-E72D297353CC}">
              <c16:uniqueId val="{00000000-6D5E-4B7E-AC57-AC4FDDBAD242}"/>
            </c:ext>
          </c:extLst>
        </c:ser>
        <c:dLbls>
          <c:dLblPos val="outEnd"/>
          <c:showLegendKey val="0"/>
          <c:showVal val="1"/>
          <c:showCatName val="0"/>
          <c:showSerName val="0"/>
          <c:showPercent val="0"/>
          <c:showBubbleSize val="0"/>
        </c:dLbls>
        <c:gapWidth val="219"/>
        <c:overlap val="-27"/>
        <c:axId val="55998191"/>
        <c:axId val="55996943"/>
        <c:extLst/>
      </c:barChart>
      <c:catAx>
        <c:axId val="5599819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logBase val="10"/>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specifiche delle centrali a ciclo combinato in % di variazione (CO</a:t>
            </a:r>
            <a:r>
              <a:rPr lang="it-IT" baseline="-25000"/>
              <a:t>2</a:t>
            </a:r>
            <a:r>
              <a:rPr lang="it-IT" baseline="0"/>
              <a:t>)</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3"/>
          <c:order val="3"/>
          <c:tx>
            <c:v>Variazioni</c:v>
          </c:tx>
          <c:spPr>
            <a:solidFill>
              <a:schemeClr val="accent4"/>
            </a:solidFill>
            <a:ln>
              <a:noFill/>
            </a:ln>
            <a:effectLst/>
          </c:spPr>
          <c:invertIfNegative val="0"/>
          <c:dLbls>
            <c:dLbl>
              <c:idx val="2"/>
              <c:layout>
                <c:manualLayout>
                  <c:x val="-2.1211525566989227E-17"/>
                  <c:y val="-1.4440433212996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A6-4778-A25E-A1038DB002CF}"/>
                </c:ext>
              </c:extLst>
            </c:dLbl>
            <c:dLbl>
              <c:idx val="3"/>
              <c:layout>
                <c:manualLayout>
                  <c:x val="-3.4710170079833179E-3"/>
                  <c:y val="4.332129963898916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235-4589-BE9D-703C830E11C7}"/>
                </c:ext>
              </c:extLst>
            </c:dLbl>
            <c:dLbl>
              <c:idx val="4"/>
              <c:layout>
                <c:manualLayout>
                  <c:x val="0"/>
                  <c:y val="-1.60427807486630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235-4589-BE9D-703C830E11C7}"/>
                </c:ext>
              </c:extLst>
            </c:dLbl>
            <c:dLbl>
              <c:idx val="5"/>
              <c:layout>
                <c:manualLayout>
                  <c:x val="-3.6186768413617155E-17"/>
                  <c:y val="-1.60427807486631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B4-4375-8FBE-758416685F0A}"/>
                </c:ext>
              </c:extLst>
            </c:dLbl>
            <c:dLbl>
              <c:idx val="7"/>
              <c:layout>
                <c:manualLayout>
                  <c:x val="-4.2423051133978455E-17"/>
                  <c:y val="-3.61007987719945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A6-4778-A25E-A1038DB002CF}"/>
                </c:ext>
              </c:extLst>
            </c:dLbl>
            <c:dLbl>
              <c:idx val="8"/>
              <c:layout>
                <c:manualLayout>
                  <c:x val="1.1570056693278221E-3"/>
                  <c:y val="-9.02527075812267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235-4589-BE9D-703C830E11C7}"/>
                </c:ext>
              </c:extLst>
            </c:dLbl>
            <c:dLbl>
              <c:idx val="9"/>
              <c:layout>
                <c:manualLayout>
                  <c:x val="0"/>
                  <c:y val="3.78719544873644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235-4589-BE9D-703C830E11C7}"/>
                </c:ext>
              </c:extLst>
            </c:dLbl>
            <c:dLbl>
              <c:idx val="11"/>
              <c:layout>
                <c:manualLayout>
                  <c:x val="0"/>
                  <c:y val="-3.249097472924181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1A6-4778-A25E-A1038DB002CF}"/>
                </c:ext>
              </c:extLst>
            </c:dLbl>
            <c:dLbl>
              <c:idx val="12"/>
              <c:layout>
                <c:manualLayout>
                  <c:x val="-1.1570056693277796E-3"/>
                  <c:y val="-1.08301827794990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201-4661-B94F-CAEECA18B99E}"/>
                </c:ext>
              </c:extLst>
            </c:dLbl>
            <c:dLbl>
              <c:idx val="14"/>
              <c:layout>
                <c:manualLayout>
                  <c:x val="9.8732922314145226E-4"/>
                  <c:y val="4.3256929271275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A6-4778-A25E-A1038DB002CF}"/>
                </c:ext>
              </c:extLst>
            </c:dLbl>
            <c:dLbl>
              <c:idx val="15"/>
              <c:layout>
                <c:manualLayout>
                  <c:x val="2.3140113386554747E-3"/>
                  <c:y val="-1.44404332129963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7B4-4375-8FBE-758416685F0A}"/>
                </c:ext>
              </c:extLst>
            </c:dLbl>
            <c:dLbl>
              <c:idx val="22"/>
              <c:layout>
                <c:manualLayout>
                  <c:x val="-1.6969220453591382E-16"/>
                  <c:y val="-1.98555956678699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A6-4778-A25E-A1038DB002C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25</c:v>
              </c:pt>
              <c:pt idx="18">
                <c:v>36</c:v>
              </c:pt>
              <c:pt idx="19">
                <c:v>38</c:v>
              </c:pt>
              <c:pt idx="20">
                <c:v>39</c:v>
              </c:pt>
              <c:pt idx="21">
                <c:v>43</c:v>
              </c:pt>
              <c:pt idx="22">
                <c:v>45</c:v>
              </c:pt>
              <c:pt idx="23">
                <c:v>48</c:v>
              </c:pt>
            </c:numLit>
          </c:cat>
          <c:val>
            <c:numRef>
              <c:f>('Analisi dati, formula corretta'!$BF$4,'Analisi dati, formula corretta'!$BF$7,'Analisi dati, formula corretta'!$BF$9,'Analisi dati, formula corretta'!$BF$11,'Analisi dati, formula corretta'!$BF$13,'Analisi dati, formula corretta'!$BF$14,'Analisi dati, formula corretta'!$BF$15,'Analisi dati, formula corretta'!$BF$16,'Analisi dati, formula corretta'!$BF$19,'Analisi dati, formula corretta'!$BF$20,'Analisi dati, formula corretta'!$BF$21,'Analisi dati, formula corretta'!$BF$23,'Analisi dati, formula corretta'!$BF$24,'Analisi dati, formula corretta'!$BF$29,'Analisi dati, formula corretta'!$BF$30,'Analisi dati, formula corretta'!$BF$32,'Analisi dati, formula corretta'!$BF$34,'Analisi dati, formula corretta'!$BF$38,'Analisi dati, formula corretta'!$BF$39,'Analisi dati, formula corretta'!$BF$41,'Analisi dati, formula corretta'!$BF$42,'Analisi dati, formula corretta'!$BF$46,'Analisi dati, formula corretta'!$BF$48,'Analisi dati, formula corretta'!$BF$51)</c:f>
              <c:numCache>
                <c:formatCode>0.00%</c:formatCode>
                <c:ptCount val="24"/>
                <c:pt idx="0">
                  <c:v>7.952670623145397E-2</c:v>
                </c:pt>
                <c:pt idx="1">
                  <c:v>-6.5929576253345834E-2</c:v>
                </c:pt>
                <c:pt idx="2">
                  <c:v>-2.7773428046749316E-2</c:v>
                </c:pt>
                <c:pt idx="3">
                  <c:v>-9.0365373083468592E-3</c:v>
                </c:pt>
                <c:pt idx="4">
                  <c:v>-1.0411986455506339E-2</c:v>
                </c:pt>
                <c:pt idx="5">
                  <c:v>-9.7977595606113521E-3</c:v>
                </c:pt>
                <c:pt idx="6">
                  <c:v>-5.6197115957573596E-2</c:v>
                </c:pt>
                <c:pt idx="7">
                  <c:v>-2.1345452367215523E-2</c:v>
                </c:pt>
                <c:pt idx="8">
                  <c:v>2.3517552132384711E-2</c:v>
                </c:pt>
                <c:pt idx="9">
                  <c:v>-1.9238486954054057E-4</c:v>
                </c:pt>
                <c:pt idx="10">
                  <c:v>-3.348771627277769E-2</c:v>
                </c:pt>
                <c:pt idx="11">
                  <c:v>9.249197704767953E-3</c:v>
                </c:pt>
                <c:pt idx="12">
                  <c:v>-6.207309620907564E-2</c:v>
                </c:pt>
                <c:pt idx="13">
                  <c:v>3.3225255947681775E-2</c:v>
                </c:pt>
                <c:pt idx="14">
                  <c:v>-1.6285361154426692E-3</c:v>
                </c:pt>
                <c:pt idx="15">
                  <c:v>3.5231035520770559E-2</c:v>
                </c:pt>
                <c:pt idx="16">
                  <c:v>2.0380303018567414E-2</c:v>
                </c:pt>
                <c:pt idx="17">
                  <c:v>5.0835145850615548E-2</c:v>
                </c:pt>
                <c:pt idx="18">
                  <c:v>1.9631722331907575E-3</c:v>
                </c:pt>
                <c:pt idx="19">
                  <c:v>4.0416572607886447E-2</c:v>
                </c:pt>
                <c:pt idx="20">
                  <c:v>4.838433204225967E-2</c:v>
                </c:pt>
                <c:pt idx="21">
                  <c:v>-1.7070621907351646E-2</c:v>
                </c:pt>
                <c:pt idx="22">
                  <c:v>-5.6948564263981094E-3</c:v>
                </c:pt>
                <c:pt idx="23">
                  <c:v>7.2940459337569319E-3</c:v>
                </c:pt>
              </c:numCache>
            </c:numRef>
          </c:val>
          <c:extLst xmlns:c15="http://schemas.microsoft.com/office/drawing/2012/chart">
            <c:ext xmlns:c16="http://schemas.microsoft.com/office/drawing/2014/chart" uri="{C3380CC4-5D6E-409C-BE32-E72D297353CC}">
              <c16:uniqueId val="{00000000-7235-4589-BE9D-703C830E11C7}"/>
            </c:ext>
          </c:extLst>
        </c:ser>
        <c:dLbls>
          <c:showLegendKey val="0"/>
          <c:showVal val="0"/>
          <c:showCatName val="0"/>
          <c:showSerName val="0"/>
          <c:showPercent val="0"/>
          <c:showBubbleSize val="0"/>
        </c:dLbls>
        <c:gapWidth val="219"/>
        <c:overlap val="-27"/>
        <c:axId val="55998191"/>
        <c:axId val="55996943"/>
        <c:extLst>
          <c:ext xmlns:c15="http://schemas.microsoft.com/office/drawing/2012/chart" uri="{02D57815-91ED-43cb-92C2-25804820EDAC}">
            <c15:filteredBarSeries>
              <c15:ser>
                <c:idx val="0"/>
                <c:order val="0"/>
                <c:tx>
                  <c:v>2017</c:v>
                </c:tx>
                <c:spPr>
                  <a:solidFill>
                    <a:schemeClr val="accent1"/>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25</c:v>
                    </c:pt>
                    <c:pt idx="18">
                      <c:v>36</c:v>
                    </c:pt>
                    <c:pt idx="19">
                      <c:v>38</c:v>
                    </c:pt>
                    <c:pt idx="20">
                      <c:v>39</c:v>
                    </c:pt>
                    <c:pt idx="21">
                      <c:v>43</c:v>
                    </c:pt>
                    <c:pt idx="22">
                      <c:v>45</c:v>
                    </c:pt>
                    <c:pt idx="23">
                      <c:v>48</c:v>
                    </c:pt>
                  </c:numLit>
                </c:cat>
                <c:val>
                  <c:numRef>
                    <c:extLst>
                      <c:ext uri="{02D57815-91ED-43cb-92C2-25804820EDAC}">
                        <c15:formulaRef>
                          <c15:sqref>'Analisi dati, formula corretta'!$AZ$4:$AZ$52</c15:sqref>
                        </c15:formulaRef>
                      </c:ext>
                    </c:extLst>
                    <c:numCache>
                      <c:formatCode>#,##0.00</c:formatCode>
                      <c:ptCount val="49"/>
                      <c:pt idx="0">
                        <c:v>368.88</c:v>
                      </c:pt>
                      <c:pt idx="1">
                        <c:v>405.35909752359856</c:v>
                      </c:pt>
                      <c:pt idx="2">
                        <c:v>881.75829941203074</c:v>
                      </c:pt>
                      <c:pt idx="3">
                        <c:v>388.47824696097251</c:v>
                      </c:pt>
                      <c:pt idx="4">
                        <c:v>371</c:v>
                      </c:pt>
                      <c:pt idx="5">
                        <c:v>388.38532110091745</c:v>
                      </c:pt>
                      <c:pt idx="6">
                        <c:v>904.86689132266213</c:v>
                      </c:pt>
                      <c:pt idx="7">
                        <c:v>395.22230272631839</c:v>
                      </c:pt>
                      <c:pt idx="8">
                        <c:v>976.88275862068963</c:v>
                      </c:pt>
                      <c:pt idx="9">
                        <c:v>386.18599926009006</c:v>
                      </c:pt>
                      <c:pt idx="10">
                        <c:v>391.62999138401415</c:v>
                      </c:pt>
                      <c:pt idx="11">
                        <c:v>704.4110766089583</c:v>
                      </c:pt>
                      <c:pt idx="12">
                        <c:v>382.60635433494883</c:v>
                      </c:pt>
                      <c:pt idx="13">
                        <c:v>1014.2599631450249</c:v>
                      </c:pt>
                      <c:pt idx="14">
                        <c:v>985.69424964936889</c:v>
                      </c:pt>
                      <c:pt idx="15">
                        <c:v>395.39834153132517</c:v>
                      </c:pt>
                      <c:pt idx="16">
                        <c:v>387.4130624931002</c:v>
                      </c:pt>
                      <c:pt idx="17">
                        <c:v>364.17587834891265</c:v>
                      </c:pt>
                      <c:pt idx="18">
                        <c:v>281.57096027767068</c:v>
                      </c:pt>
                      <c:pt idx="19">
                        <c:v>407.69128245998718</c:v>
                      </c:pt>
                      <c:pt idx="20">
                        <c:v>388.47391789206461</c:v>
                      </c:pt>
                      <c:pt idx="21">
                        <c:v>248.44577280114868</c:v>
                      </c:pt>
                      <c:pt idx="22">
                        <c:v>245.27063673896387</c:v>
                      </c:pt>
                      <c:pt idx="23">
                        <c:v>267.09954756699329</c:v>
                      </c:pt>
                      <c:pt idx="24">
                        <c:v>324.73430023149348</c:v>
                      </c:pt>
                      <c:pt idx="25">
                        <c:v>398.48632709749376</c:v>
                      </c:pt>
                      <c:pt idx="26">
                        <c:v>482.20290754824356</c:v>
                      </c:pt>
                      <c:pt idx="27">
                        <c:v>231.55753233807644</c:v>
                      </c:pt>
                      <c:pt idx="28">
                        <c:v>408.46366145354187</c:v>
                      </c:pt>
                      <c:pt idx="29">
                        <c:v>259.06890130353821</c:v>
                      </c:pt>
                      <c:pt idx="30">
                        <c:v>384.98705261351364</c:v>
                      </c:pt>
                      <c:pt idx="31">
                        <c:v>287.65724699772517</c:v>
                      </c:pt>
                      <c:pt idx="32">
                        <c:v>1400.4351729065409</c:v>
                      </c:pt>
                      <c:pt idx="33">
                        <c:v>283.14788261666286</c:v>
                      </c:pt>
                      <c:pt idx="34">
                        <c:v>371.53078595186338</c:v>
                      </c:pt>
                      <c:pt idx="35">
                        <c:v>402.85219937028756</c:v>
                      </c:pt>
                      <c:pt idx="36">
                        <c:v>208.95619422805078</c:v>
                      </c:pt>
                      <c:pt idx="37">
                        <c:v>373.0368682992052</c:v>
                      </c:pt>
                      <c:pt idx="38">
                        <c:v>389.85446136501832</c:v>
                      </c:pt>
                      <c:pt idx="39">
                        <c:v>276.88581081081082</c:v>
                      </c:pt>
                      <c:pt idx="40">
                        <c:v>363.98177657120243</c:v>
                      </c:pt>
                      <c:pt idx="41">
                        <c:v>1068.7291356539076</c:v>
                      </c:pt>
                      <c:pt idx="42">
                        <c:v>371.8029686841416</c:v>
                      </c:pt>
                      <c:pt idx="43">
                        <c:v>415.55262710861052</c:v>
                      </c:pt>
                      <c:pt idx="44">
                        <c:v>395.01954948481028</c:v>
                      </c:pt>
                      <c:pt idx="45">
                        <c:v>289.6468877718379</c:v>
                      </c:pt>
                      <c:pt idx="46">
                        <c:v>453.52286643300533</c:v>
                      </c:pt>
                      <c:pt idx="47">
                        <c:v>384.21145770686195</c:v>
                      </c:pt>
                      <c:pt idx="48">
                        <c:v>378.75641083670774</c:v>
                      </c:pt>
                    </c:numCache>
                  </c:numRef>
                </c:val>
                <c:extLst>
                  <c:ext xmlns:c16="http://schemas.microsoft.com/office/drawing/2014/chart" uri="{C3380CC4-5D6E-409C-BE32-E72D297353CC}">
                    <c16:uniqueId val="{00000001-7235-4589-BE9D-703C830E11C7}"/>
                  </c:ext>
                </c:extLst>
              </c15:ser>
            </c15:filteredBarSeries>
            <c15:filteredBarSeries>
              <c15:ser>
                <c:idx val="1"/>
                <c:order val="1"/>
                <c:tx>
                  <c:v>2018</c:v>
                </c:tx>
                <c:spPr>
                  <a:solidFill>
                    <a:schemeClr val="accent2"/>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25</c:v>
                    </c:pt>
                    <c:pt idx="18">
                      <c:v>36</c:v>
                    </c:pt>
                    <c:pt idx="19">
                      <c:v>38</c:v>
                    </c:pt>
                    <c:pt idx="20">
                      <c:v>39</c:v>
                    </c:pt>
                    <c:pt idx="21">
                      <c:v>43</c:v>
                    </c:pt>
                    <c:pt idx="22">
                      <c:v>45</c:v>
                    </c:pt>
                    <c:pt idx="23">
                      <c:v>48</c:v>
                    </c:pt>
                  </c:numLit>
                </c:cat>
                <c:val>
                  <c:numRef>
                    <c:extLst xmlns:c15="http://schemas.microsoft.com/office/drawing/2012/chart">
                      <c:ext xmlns:c15="http://schemas.microsoft.com/office/drawing/2012/chart" uri="{02D57815-91ED-43cb-92C2-25804820EDAC}">
                        <c15:formulaRef>
                          <c15:sqref>'Analisi dati, formula corretta'!$BA$4:$BA$52</c15:sqref>
                        </c15:formulaRef>
                      </c:ext>
                    </c:extLst>
                    <c:numCache>
                      <c:formatCode>#,##0.00</c:formatCode>
                      <c:ptCount val="49"/>
                      <c:pt idx="0">
                        <c:v>419.89</c:v>
                      </c:pt>
                      <c:pt idx="1">
                        <c:v>409.58238022968067</c:v>
                      </c:pt>
                      <c:pt idx="2">
                        <c:v>926.72316513761473</c:v>
                      </c:pt>
                      <c:pt idx="3">
                        <c:v>381.0792815113038</c:v>
                      </c:pt>
                      <c:pt idx="4">
                        <c:v>371</c:v>
                      </c:pt>
                      <c:pt idx="5">
                        <c:v>406.27387996618768</c:v>
                      </c:pt>
                      <c:pt idx="6">
                        <c:v>911.67606915377621</c:v>
                      </c:pt>
                      <c:pt idx="7">
                        <c:v>388.20765449918542</c:v>
                      </c:pt>
                      <c:pt idx="8">
                        <c:v>986.56227461858532</c:v>
                      </c:pt>
                      <c:pt idx="9">
                        <c:v>386.67514957901295</c:v>
                      </c:pt>
                      <c:pt idx="10">
                        <c:v>387.01950587966007</c:v>
                      </c:pt>
                      <c:pt idx="11">
                        <c:v>723.44061520934213</c:v>
                      </c:pt>
                      <c:pt idx="12">
                        <c:v>387.13318284424378</c:v>
                      </c:pt>
                      <c:pt idx="13">
                        <c:v>1019.6104139153898</c:v>
                      </c:pt>
                      <c:pt idx="14">
                        <c:v>988.42664998436032</c:v>
                      </c:pt>
                      <c:pt idx="15">
                        <c:v>387.90872892767277</c:v>
                      </c:pt>
                      <c:pt idx="16">
                        <c:v>394.07139945256534</c:v>
                      </c:pt>
                      <c:pt idx="17">
                        <c:v>367.13450773789924</c:v>
                      </c:pt>
                      <c:pt idx="18">
                        <c:v>298.59904118544347</c:v>
                      </c:pt>
                      <c:pt idx="19">
                        <c:v>411.19435185307179</c:v>
                      </c:pt>
                      <c:pt idx="20">
                        <c:v>386.13351422450734</c:v>
                      </c:pt>
                      <c:pt idx="21">
                        <c:v>247.8819510806058</c:v>
                      </c:pt>
                      <c:pt idx="22">
                        <c:v>231.51000417853015</c:v>
                      </c:pt>
                      <c:pt idx="23">
                        <c:v>268.02066743883017</c:v>
                      </c:pt>
                      <c:pt idx="24">
                        <c:v>319.05597837364905</c:v>
                      </c:pt>
                      <c:pt idx="25">
                        <c:v>406.70106208846397</c:v>
                      </c:pt>
                      <c:pt idx="26">
                        <c:v>409.7043808619257</c:v>
                      </c:pt>
                      <c:pt idx="27">
                        <c:v>226.53597176454846</c:v>
                      </c:pt>
                      <c:pt idx="28">
                        <c:v>402.79823269513992</c:v>
                      </c:pt>
                      <c:pt idx="29">
                        <c:v>264.37665769244217</c:v>
                      </c:pt>
                      <c:pt idx="30">
                        <c:v>385.18648408683117</c:v>
                      </c:pt>
                      <c:pt idx="31">
                        <c:v>346.91898585325868</c:v>
                      </c:pt>
                      <c:pt idx="32">
                        <c:v>1365.3490259504147</c:v>
                      </c:pt>
                      <c:pt idx="33">
                        <c:v>284.14168604159806</c:v>
                      </c:pt>
                      <c:pt idx="34">
                        <c:v>384.19213288507154</c:v>
                      </c:pt>
                      <c:pt idx="35">
                        <c:v>401.87925261907333</c:v>
                      </c:pt>
                      <c:pt idx="36">
                        <c:v>236.84385824673595</c:v>
                      </c:pt>
                      <c:pt idx="37">
                        <c:v>381.55689254338745</c:v>
                      </c:pt>
                      <c:pt idx="38">
                        <c:v>389.48996516680569</c:v>
                      </c:pt>
                      <c:pt idx="39">
                        <c:v>275.68735855156808</c:v>
                      </c:pt>
                      <c:pt idx="40">
                        <c:v>366.7633781033324</c:v>
                      </c:pt>
                      <c:pt idx="41">
                        <c:v>1039.507111940613</c:v>
                      </c:pt>
                      <c:pt idx="42">
                        <c:v>374.89580731984796</c:v>
                      </c:pt>
                      <c:pt idx="43">
                        <c:v>399.3525124299793</c:v>
                      </c:pt>
                      <c:pt idx="44">
                        <c:v>391.54343972989676</c:v>
                      </c:pt>
                      <c:pt idx="45">
                        <c:v>279.38215946467051</c:v>
                      </c:pt>
                      <c:pt idx="46">
                        <c:v>430.55219855054116</c:v>
                      </c:pt>
                      <c:pt idx="47">
                        <c:v>377.37046885271144</c:v>
                      </c:pt>
                      <c:pt idx="48">
                        <c:v>379.23259748048815</c:v>
                      </c:pt>
                    </c:numCache>
                  </c:numRef>
                </c:val>
                <c:extLst xmlns:c15="http://schemas.microsoft.com/office/drawing/2012/chart">
                  <c:ext xmlns:c16="http://schemas.microsoft.com/office/drawing/2014/chart" uri="{C3380CC4-5D6E-409C-BE32-E72D297353CC}">
                    <c16:uniqueId val="{00000002-7235-4589-BE9D-703C830E11C7}"/>
                  </c:ext>
                </c:extLst>
              </c15:ser>
            </c15:filteredBarSeries>
            <c15:filteredBarSeries>
              <c15:ser>
                <c:idx val="2"/>
                <c:order val="2"/>
                <c:tx>
                  <c:v>2019</c:v>
                </c:tx>
                <c:spPr>
                  <a:solidFill>
                    <a:schemeClr val="accent3"/>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25</c:v>
                    </c:pt>
                    <c:pt idx="18">
                      <c:v>36</c:v>
                    </c:pt>
                    <c:pt idx="19">
                      <c:v>38</c:v>
                    </c:pt>
                    <c:pt idx="20">
                      <c:v>39</c:v>
                    </c:pt>
                    <c:pt idx="21">
                      <c:v>43</c:v>
                    </c:pt>
                    <c:pt idx="22">
                      <c:v>45</c:v>
                    </c:pt>
                    <c:pt idx="23">
                      <c:v>48</c:v>
                    </c:pt>
                  </c:numLit>
                </c:cat>
                <c:val>
                  <c:numRef>
                    <c:extLst xmlns:c15="http://schemas.microsoft.com/office/drawing/2012/chart">
                      <c:ext xmlns:c15="http://schemas.microsoft.com/office/drawing/2012/chart" uri="{02D57815-91ED-43cb-92C2-25804820EDAC}">
                        <c15:formulaRef>
                          <c15:sqref>'Analisi dati, formula corretta'!$BB$4:$BB$52</c15:sqref>
                        </c15:formulaRef>
                      </c:ext>
                    </c:extLst>
                    <c:numCache>
                      <c:formatCode>#,##0.00</c:formatCode>
                      <c:ptCount val="49"/>
                      <c:pt idx="0">
                        <c:v>412.3</c:v>
                      </c:pt>
                      <c:pt idx="1">
                        <c:v>401.07605938585249</c:v>
                      </c:pt>
                      <c:pt idx="2">
                        <c:v>1028.8193651518611</c:v>
                      </c:pt>
                      <c:pt idx="3">
                        <c:v>379.55289765721329</c:v>
                      </c:pt>
                      <c:pt idx="4">
                        <c:v>386</c:v>
                      </c:pt>
                      <c:pt idx="5">
                        <c:v>386.94617563739376</c:v>
                      </c:pt>
                      <c:pt idx="6">
                        <c:v>882.47396630934145</c:v>
                      </c:pt>
                      <c:pt idx="7">
                        <c:v>394.73783455947142</c:v>
                      </c:pt>
                      <c:pt idx="8">
                        <c:v>1020.5023279875841</c:v>
                      </c:pt>
                      <c:pt idx="9">
                        <c:v>380.74424039983046</c:v>
                      </c:pt>
                      <c:pt idx="10">
                        <c:v>383.23726878930313</c:v>
                      </c:pt>
                      <c:pt idx="11">
                        <c:v>709.09307591467052</c:v>
                      </c:pt>
                      <c:pt idx="12">
                        <c:v>381.04020656584288</c:v>
                      </c:pt>
                      <c:pt idx="13">
                        <c:v>987.08187448670208</c:v>
                      </c:pt>
                      <c:pt idx="14">
                        <c:v>996.0972680876614</c:v>
                      </c:pt>
                      <c:pt idx="15">
                        <c:v>393.62834457951203</c:v>
                      </c:pt>
                      <c:pt idx="16">
                        <c:v>389.24523644308124</c:v>
                      </c:pt>
                      <c:pt idx="17">
                        <c:v>368.22433797550036</c:v>
                      </c:pt>
                      <c:pt idx="18">
                        <c:v>297.54750469826683</c:v>
                      </c:pt>
                      <c:pt idx="19">
                        <c:v>398.19853122774254</c:v>
                      </c:pt>
                      <c:pt idx="20">
                        <c:v>380.47284319130461</c:v>
                      </c:pt>
                      <c:pt idx="21">
                        <c:v>249.63268453557146</c:v>
                      </c:pt>
                      <c:pt idx="22">
                        <c:v>226.05266724053357</c:v>
                      </c:pt>
                      <c:pt idx="23">
                        <c:v>264.68753154045896</c:v>
                      </c:pt>
                      <c:pt idx="24">
                        <c:v>322.58963699208357</c:v>
                      </c:pt>
                      <c:pt idx="25">
                        <c:v>404.49073150664435</c:v>
                      </c:pt>
                      <c:pt idx="26">
                        <c:v>400.18382994743166</c:v>
                      </c:pt>
                      <c:pt idx="27">
                        <c:v>232.04161869800376</c:v>
                      </c:pt>
                      <c:pt idx="28">
                        <c:v>406.81818181818181</c:v>
                      </c:pt>
                      <c:pt idx="29">
                        <c:v>258.33805613673258</c:v>
                      </c:pt>
                      <c:pt idx="30">
                        <c:v>387.74340771304918</c:v>
                      </c:pt>
                      <c:pt idx="31">
                        <c:v>321.13423141688719</c:v>
                      </c:pt>
                      <c:pt idx="32">
                        <c:v>1315.3005104421818</c:v>
                      </c:pt>
                      <c:pt idx="33">
                        <c:v>281.32675916457544</c:v>
                      </c:pt>
                      <c:pt idx="34">
                        <c:v>384.49821561750724</c:v>
                      </c:pt>
                      <c:pt idx="35">
                        <c:v>398.94266051179977</c:v>
                      </c:pt>
                      <c:pt idx="36">
                        <c:v>178.69415807560139</c:v>
                      </c:pt>
                      <c:pt idx="37">
                        <c:v>0</c:v>
                      </c:pt>
                      <c:pt idx="38">
                        <c:v>393.45100995441476</c:v>
                      </c:pt>
                      <c:pt idx="39">
                        <c:v>284.46931163106137</c:v>
                      </c:pt>
                      <c:pt idx="40">
                        <c:v>366.21602235710282</c:v>
                      </c:pt>
                      <c:pt idx="41">
                        <c:v>1132.3979192318661</c:v>
                      </c:pt>
                      <c:pt idx="42">
                        <c:v>375.04012195179683</c:v>
                      </c:pt>
                      <c:pt idx="43">
                        <c:v>395.57312030931502</c:v>
                      </c:pt>
                      <c:pt idx="44">
                        <c:v>394.14656750474091</c:v>
                      </c:pt>
                      <c:pt idx="45">
                        <c:v>275.96848677570051</c:v>
                      </c:pt>
                      <c:pt idx="46">
                        <c:v>418.63708571875645</c:v>
                      </c:pt>
                      <c:pt idx="47">
                        <c:v>373.10171461386358</c:v>
                      </c:pt>
                      <c:pt idx="48">
                        <c:v>370.52096486727464</c:v>
                      </c:pt>
                    </c:numCache>
                  </c:numRef>
                </c:val>
                <c:extLst xmlns:c15="http://schemas.microsoft.com/office/drawing/2012/chart">
                  <c:ext xmlns:c16="http://schemas.microsoft.com/office/drawing/2014/chart" uri="{C3380CC4-5D6E-409C-BE32-E72D297353CC}">
                    <c16:uniqueId val="{00000003-7235-4589-BE9D-703C830E11C7}"/>
                  </c:ext>
                </c:extLst>
              </c15:ser>
            </c15:filteredBarSeries>
            <c15:filteredBarSeries>
              <c15:ser>
                <c:idx val="4"/>
                <c:order val="4"/>
                <c:spPr>
                  <a:solidFill>
                    <a:schemeClr val="accent5"/>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25</c:v>
                    </c:pt>
                    <c:pt idx="18">
                      <c:v>36</c:v>
                    </c:pt>
                    <c:pt idx="19">
                      <c:v>38</c:v>
                    </c:pt>
                    <c:pt idx="20">
                      <c:v>39</c:v>
                    </c:pt>
                    <c:pt idx="21">
                      <c:v>43</c:v>
                    </c:pt>
                    <c:pt idx="22">
                      <c:v>45</c:v>
                    </c:pt>
                    <c:pt idx="23">
                      <c:v>48</c:v>
                    </c:pt>
                  </c:numLit>
                </c:cat>
                <c:val>
                  <c:numRef>
                    <c:extLst xmlns:c15="http://schemas.microsoft.com/office/drawing/2012/chart">
                      <c:ext xmlns:c15="http://schemas.microsoft.com/office/drawing/2012/chart" uri="{02D57815-91ED-43cb-92C2-25804820EDAC}">
                        <c15:formulaRef>
                          <c15:sqref>'Analisi dati, formula corretta'!$BA$3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4-7235-4589-BE9D-703C830E11C7}"/>
                  </c:ext>
                </c:extLst>
              </c15:ser>
            </c15:filteredBarSeries>
            <c15:filteredBarSeries>
              <c15:ser>
                <c:idx val="5"/>
                <c:order val="5"/>
                <c:spPr>
                  <a:solidFill>
                    <a:schemeClr val="accent6"/>
                  </a:solidFill>
                  <a:ln>
                    <a:noFill/>
                  </a:ln>
                  <a:effectLst/>
                </c:spPr>
                <c:invertIfNegative val="0"/>
                <c:cat>
                  <c:numLit>
                    <c:formatCode>General</c:formatCode>
                    <c:ptCount val="24"/>
                    <c:pt idx="0">
                      <c:v>1</c:v>
                    </c:pt>
                    <c:pt idx="1">
                      <c:v>4</c:v>
                    </c:pt>
                    <c:pt idx="2">
                      <c:v>6</c:v>
                    </c:pt>
                    <c:pt idx="3">
                      <c:v>8</c:v>
                    </c:pt>
                    <c:pt idx="4">
                      <c:v>10</c:v>
                    </c:pt>
                    <c:pt idx="5">
                      <c:v>11</c:v>
                    </c:pt>
                    <c:pt idx="6">
                      <c:v>12</c:v>
                    </c:pt>
                    <c:pt idx="7">
                      <c:v>13</c:v>
                    </c:pt>
                    <c:pt idx="8">
                      <c:v>16</c:v>
                    </c:pt>
                    <c:pt idx="9">
                      <c:v>17</c:v>
                    </c:pt>
                    <c:pt idx="10">
                      <c:v>18</c:v>
                    </c:pt>
                    <c:pt idx="11">
                      <c:v>20</c:v>
                    </c:pt>
                    <c:pt idx="12">
                      <c:v>21</c:v>
                    </c:pt>
                    <c:pt idx="13">
                      <c:v>26</c:v>
                    </c:pt>
                    <c:pt idx="14">
                      <c:v>27</c:v>
                    </c:pt>
                    <c:pt idx="15">
                      <c:v>29</c:v>
                    </c:pt>
                    <c:pt idx="16">
                      <c:v>31</c:v>
                    </c:pt>
                    <c:pt idx="17">
                      <c:v>25</c:v>
                    </c:pt>
                    <c:pt idx="18">
                      <c:v>36</c:v>
                    </c:pt>
                    <c:pt idx="19">
                      <c:v>38</c:v>
                    </c:pt>
                    <c:pt idx="20">
                      <c:v>39</c:v>
                    </c:pt>
                    <c:pt idx="21">
                      <c:v>43</c:v>
                    </c:pt>
                    <c:pt idx="22">
                      <c:v>45</c:v>
                    </c:pt>
                    <c:pt idx="23">
                      <c:v>48</c:v>
                    </c:pt>
                  </c:numLit>
                </c:cat>
                <c:val>
                  <c:numRef>
                    <c:extLst xmlns:c15="http://schemas.microsoft.com/office/drawing/2012/chart">
                      <c:ext xmlns:c15="http://schemas.microsoft.com/office/drawing/2012/chart" uri="{02D57815-91ED-43cb-92C2-25804820EDAC}">
                        <c15:formulaRef>
                          <c15:sqref>'Analisi dati, formula corretta'!$BB$3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5-7235-4589-BE9D-703C830E11C7}"/>
                  </c:ext>
                </c:extLst>
              </c15:ser>
            </c15:filteredBarSeries>
          </c:ext>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Emissioni specifiche medie in atmosfera fra il 2011 e il 2019 (t/GWhe di NOx)</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8"/>
          <c:order val="0"/>
          <c:tx>
            <c:v>Emissioni specifiche totali in atmosfera</c:v>
          </c:tx>
          <c:spPr>
            <a:solidFill>
              <a:schemeClr val="accent1">
                <a:shade val="44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'Analisi dati, formula corretta'!$CC$4:$CC$52</c:f>
              <c:numCache>
                <c:formatCode>#,##0.000</c:formatCode>
                <c:ptCount val="49"/>
                <c:pt idx="0">
                  <c:v>0.13196945873901431</c:v>
                </c:pt>
                <c:pt idx="1">
                  <c:v>0.12659358520101319</c:v>
                </c:pt>
                <c:pt idx="2">
                  <c:v>0.25028910704346929</c:v>
                </c:pt>
                <c:pt idx="3">
                  <c:v>0.14394248672033491</c:v>
                </c:pt>
                <c:pt idx="4">
                  <c:v>0.2254524862339807</c:v>
                </c:pt>
                <c:pt idx="5">
                  <c:v>9.9124113237487585E-2</c:v>
                </c:pt>
                <c:pt idx="6">
                  <c:v>0.69554817701978422</c:v>
                </c:pt>
                <c:pt idx="7">
                  <c:v>0.12838928745102007</c:v>
                </c:pt>
                <c:pt idx="8">
                  <c:v>0.44179611095059157</c:v>
                </c:pt>
                <c:pt idx="9">
                  <c:v>0.14931142953372339</c:v>
                </c:pt>
                <c:pt idx="10">
                  <c:v>0.12494074634970945</c:v>
                </c:pt>
                <c:pt idx="11">
                  <c:v>0.61288721119383405</c:v>
                </c:pt>
                <c:pt idx="12">
                  <c:v>0.14811139564410125</c:v>
                </c:pt>
                <c:pt idx="13">
                  <c:v>0.62391844368411231</c:v>
                </c:pt>
                <c:pt idx="14">
                  <c:v>0.65425993098829838</c:v>
                </c:pt>
                <c:pt idx="15">
                  <c:v>9.8172570785326679E-2</c:v>
                </c:pt>
                <c:pt idx="16">
                  <c:v>0.13993261943418714</c:v>
                </c:pt>
                <c:pt idx="17">
                  <c:v>9.4342918236756598E-2</c:v>
                </c:pt>
                <c:pt idx="18">
                  <c:v>7.2185292622664043E-2</c:v>
                </c:pt>
                <c:pt idx="19">
                  <c:v>0.1020088091366185</c:v>
                </c:pt>
                <c:pt idx="20">
                  <c:v>0.1226651903977244</c:v>
                </c:pt>
                <c:pt idx="21">
                  <c:v>0.16470923312850549</c:v>
                </c:pt>
                <c:pt idx="22">
                  <c:v>0.18579119398863694</c:v>
                </c:pt>
                <c:pt idx="23">
                  <c:v>0.1157862346719665</c:v>
                </c:pt>
                <c:pt idx="24">
                  <c:v>4.4894908490245113E-2</c:v>
                </c:pt>
                <c:pt idx="25">
                  <c:v>0.12754731813597778</c:v>
                </c:pt>
                <c:pt idx="26">
                  <c:v>0.14115341047893554</c:v>
                </c:pt>
                <c:pt idx="27">
                  <c:v>7.2042852495951007E-2</c:v>
                </c:pt>
                <c:pt idx="28">
                  <c:v>8.2352654891728772E-2</c:v>
                </c:pt>
                <c:pt idx="29">
                  <c:v>0.14626525038990815</c:v>
                </c:pt>
                <c:pt idx="30">
                  <c:v>0.10965675943849021</c:v>
                </c:pt>
                <c:pt idx="31">
                  <c:v>0.10188776491136239</c:v>
                </c:pt>
                <c:pt idx="32">
                  <c:v>0.50122972562021717</c:v>
                </c:pt>
                <c:pt idx="33">
                  <c:v>8.8079074914241315E-2</c:v>
                </c:pt>
                <c:pt idx="34">
                  <c:v>8.7239171262281895E-2</c:v>
                </c:pt>
                <c:pt idx="35">
                  <c:v>6.6531392445741522E-2</c:v>
                </c:pt>
                <c:pt idx="36">
                  <c:v>0.3963071855682766</c:v>
                </c:pt>
                <c:pt idx="37">
                  <c:v>0.13348295370573854</c:v>
                </c:pt>
                <c:pt idx="38">
                  <c:v>0.11157394080212775</c:v>
                </c:pt>
                <c:pt idx="39">
                  <c:v>3.3528664716951602E-2</c:v>
                </c:pt>
                <c:pt idx="40">
                  <c:v>0.10036235504448074</c:v>
                </c:pt>
                <c:pt idx="41">
                  <c:v>0.50882075412366679</c:v>
                </c:pt>
                <c:pt idx="42">
                  <c:v>0.11736388079028773</c:v>
                </c:pt>
                <c:pt idx="43">
                  <c:v>0.14047749327498105</c:v>
                </c:pt>
                <c:pt idx="44">
                  <c:v>0.10935330598061789</c:v>
                </c:pt>
                <c:pt idx="45">
                  <c:v>0.15534931290149423</c:v>
                </c:pt>
                <c:pt idx="46">
                  <c:v>0.13943995583956179</c:v>
                </c:pt>
                <c:pt idx="47">
                  <c:v>0.1097983989818079</c:v>
                </c:pt>
                <c:pt idx="48">
                  <c:v>0.10452942211835871</c:v>
                </c:pt>
              </c:numCache>
            </c:numRef>
          </c:val>
          <c:extLst>
            <c:ext xmlns:c16="http://schemas.microsoft.com/office/drawing/2014/chart" uri="{C3380CC4-5D6E-409C-BE32-E72D297353CC}">
              <c16:uniqueId val="{00000000-C76C-4029-B134-17C033491B8B}"/>
            </c:ext>
          </c:extLst>
        </c:ser>
        <c:dLbls>
          <c:dLblPos val="outEnd"/>
          <c:showLegendKey val="0"/>
          <c:showVal val="1"/>
          <c:showCatName val="0"/>
          <c:showSerName val="0"/>
          <c:showPercent val="0"/>
          <c:showBubbleSize val="0"/>
        </c:dLbls>
        <c:gapWidth val="219"/>
        <c:overlap val="-27"/>
        <c:axId val="55998191"/>
        <c:axId val="55996943"/>
        <c:extLst/>
      </c:barChart>
      <c:catAx>
        <c:axId val="5599819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Emissioni totali in atmosfera fra il 2011 e il 2019 (t di CO)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8"/>
          <c:order val="0"/>
          <c:tx>
            <c:v>Emissioni totali in atmosfera</c:v>
          </c:tx>
          <c:spPr>
            <a:solidFill>
              <a:schemeClr val="accent6">
                <a:tint val="44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8"/>
              <c:pt idx="0">
                <c:v>1,00000</c:v>
              </c:pt>
              <c:pt idx="1">
                <c:v>2,00000</c:v>
              </c:pt>
              <c:pt idx="2">
                <c:v>3,00000</c:v>
              </c:pt>
              <c:pt idx="3">
                <c:v>4,00000</c:v>
              </c:pt>
              <c:pt idx="4">
                <c:v>6,00000</c:v>
              </c:pt>
              <c:pt idx="5">
                <c:v>7,00000</c:v>
              </c:pt>
              <c:pt idx="6">
                <c:v>8,00000</c:v>
              </c:pt>
              <c:pt idx="7">
                <c:v>9,00000</c:v>
              </c:pt>
              <c:pt idx="8">
                <c:v>10,00000</c:v>
              </c:pt>
              <c:pt idx="9">
                <c:v>11,00000</c:v>
              </c:pt>
              <c:pt idx="10">
                <c:v>12,00000</c:v>
              </c:pt>
              <c:pt idx="11">
                <c:v>13,00000</c:v>
              </c:pt>
              <c:pt idx="12">
                <c:v>14,00000</c:v>
              </c:pt>
              <c:pt idx="13">
                <c:v>15,00000</c:v>
              </c:pt>
              <c:pt idx="14">
                <c:v>16,00000</c:v>
              </c:pt>
              <c:pt idx="15">
                <c:v>17,00000</c:v>
              </c:pt>
              <c:pt idx="16">
                <c:v>18,00000</c:v>
              </c:pt>
              <c:pt idx="17">
                <c:v>19,00000</c:v>
              </c:pt>
              <c:pt idx="18">
                <c:v>20,00000</c:v>
              </c:pt>
              <c:pt idx="19">
                <c:v>21,00000</c:v>
              </c:pt>
              <c:pt idx="20">
                <c:v>22,00000</c:v>
              </c:pt>
              <c:pt idx="21">
                <c:v>23,00000</c:v>
              </c:pt>
              <c:pt idx="22">
                <c:v>24,00000</c:v>
              </c:pt>
              <c:pt idx="23">
                <c:v>25,00000</c:v>
              </c:pt>
              <c:pt idx="24">
                <c:v>26,00000</c:v>
              </c:pt>
              <c:pt idx="25">
                <c:v>27,00000</c:v>
              </c:pt>
              <c:pt idx="26">
                <c:v>28,00000</c:v>
              </c:pt>
              <c:pt idx="27">
                <c:v>29,00000</c:v>
              </c:pt>
              <c:pt idx="28">
                <c:v>30,00000</c:v>
              </c:pt>
              <c:pt idx="29">
                <c:v>31,00000</c:v>
              </c:pt>
              <c:pt idx="30">
                <c:v>32,00000</c:v>
              </c:pt>
              <c:pt idx="31">
                <c:v>33,00000</c:v>
              </c:pt>
              <c:pt idx="32">
                <c:v>34,00000</c:v>
              </c:pt>
              <c:pt idx="33">
                <c:v>35,00000</c:v>
              </c:pt>
              <c:pt idx="34">
                <c:v>36,00000</c:v>
              </c:pt>
              <c:pt idx="35">
                <c:v>37,00000</c:v>
              </c:pt>
              <c:pt idx="36">
                <c:v>38,00000</c:v>
              </c:pt>
              <c:pt idx="37">
                <c:v>39,00000</c:v>
              </c:pt>
              <c:pt idx="38">
                <c:v>40,00000</c:v>
              </c:pt>
              <c:pt idx="39">
                <c:v>41,00000</c:v>
              </c:pt>
              <c:pt idx="40">
                <c:v>42,00000</c:v>
              </c:pt>
              <c:pt idx="41">
                <c:v>43,00000</c:v>
              </c:pt>
              <c:pt idx="42">
                <c:v>44,00000</c:v>
              </c:pt>
              <c:pt idx="43">
                <c:v>45,00000</c:v>
              </c:pt>
              <c:pt idx="44">
                <c:v>46,00000</c:v>
              </c:pt>
              <c:pt idx="45">
                <c:v>47,00000</c:v>
              </c:pt>
              <c:pt idx="46">
                <c:v>48,00000</c:v>
              </c:pt>
              <c:pt idx="47">
                <c:v>49,00000</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corretta'!$CY$4:$CY$52</c15:sqref>
                  </c15:fullRef>
                </c:ext>
              </c:extLst>
              <c:f>('Analisi dati, formula corretta'!$CY$4:$CY$7,'Analisi dati, formula corretta'!$CY$9:$CY$52)</c:f>
              <c:numCache>
                <c:formatCode>#,##0.00000</c:formatCode>
                <c:ptCount val="48"/>
                <c:pt idx="0">
                  <c:v>147</c:v>
                </c:pt>
                <c:pt idx="1">
                  <c:v>108.8</c:v>
                </c:pt>
                <c:pt idx="2">
                  <c:v>14418</c:v>
                </c:pt>
                <c:pt idx="3">
                  <c:v>5500.1</c:v>
                </c:pt>
                <c:pt idx="4">
                  <c:v>15412.202999999998</c:v>
                </c:pt>
                <c:pt idx="5">
                  <c:v>3340</c:v>
                </c:pt>
                <c:pt idx="6">
                  <c:v>406.11800000000005</c:v>
                </c:pt>
                <c:pt idx="7">
                  <c:v>618</c:v>
                </c:pt>
                <c:pt idx="8">
                  <c:v>181.1</c:v>
                </c:pt>
                <c:pt idx="9">
                  <c:v>120.39</c:v>
                </c:pt>
                <c:pt idx="10">
                  <c:v>197</c:v>
                </c:pt>
                <c:pt idx="11">
                  <c:v>11078.2</c:v>
                </c:pt>
                <c:pt idx="12">
                  <c:v>6692</c:v>
                </c:pt>
                <c:pt idx="13">
                  <c:v>252</c:v>
                </c:pt>
                <c:pt idx="14">
                  <c:v>173.3</c:v>
                </c:pt>
                <c:pt idx="15">
                  <c:v>997.7</c:v>
                </c:pt>
                <c:pt idx="16">
                  <c:v>802.87418000000002</c:v>
                </c:pt>
                <c:pt idx="17">
                  <c:v>1393</c:v>
                </c:pt>
                <c:pt idx="18">
                  <c:v>111.655</c:v>
                </c:pt>
                <c:pt idx="19">
                  <c:v>138.51</c:v>
                </c:pt>
                <c:pt idx="20">
                  <c:v>469.77100000000002</c:v>
                </c:pt>
                <c:pt idx="21">
                  <c:v>363</c:v>
                </c:pt>
                <c:pt idx="22">
                  <c:v>131.27000000000001</c:v>
                </c:pt>
                <c:pt idx="23">
                  <c:v>10.361000000000001</c:v>
                </c:pt>
                <c:pt idx="24">
                  <c:v>401.62</c:v>
                </c:pt>
                <c:pt idx="25">
                  <c:v>46.443999999999996</c:v>
                </c:pt>
                <c:pt idx="26">
                  <c:v>59.390000000000008</c:v>
                </c:pt>
                <c:pt idx="27">
                  <c:v>58.2</c:v>
                </c:pt>
                <c:pt idx="28">
                  <c:v>310.017</c:v>
                </c:pt>
                <c:pt idx="29">
                  <c:v>1027</c:v>
                </c:pt>
                <c:pt idx="30">
                  <c:v>127.07080000000001</c:v>
                </c:pt>
                <c:pt idx="31">
                  <c:v>1681.6000000000001</c:v>
                </c:pt>
                <c:pt idx="32">
                  <c:v>87.55</c:v>
                </c:pt>
                <c:pt idx="33">
                  <c:v>933.01</c:v>
                </c:pt>
                <c:pt idx="34">
                  <c:v>121.48299999999999</c:v>
                </c:pt>
                <c:pt idx="35">
                  <c:v>16.709845999999999</c:v>
                </c:pt>
                <c:pt idx="36">
                  <c:v>727.46999999999991</c:v>
                </c:pt>
                <c:pt idx="37">
                  <c:v>308.38</c:v>
                </c:pt>
                <c:pt idx="38">
                  <c:v>1719</c:v>
                </c:pt>
                <c:pt idx="39">
                  <c:v>2272.857</c:v>
                </c:pt>
                <c:pt idx="40">
                  <c:v>14286</c:v>
                </c:pt>
                <c:pt idx="41">
                  <c:v>7106.1</c:v>
                </c:pt>
                <c:pt idx="42">
                  <c:v>438.24</c:v>
                </c:pt>
                <c:pt idx="43">
                  <c:v>1570.7320999999999</c:v>
                </c:pt>
                <c:pt idx="44">
                  <c:v>791</c:v>
                </c:pt>
                <c:pt idx="45">
                  <c:v>20.259999999999998</c:v>
                </c:pt>
                <c:pt idx="46">
                  <c:v>1318.1148000000001</c:v>
                </c:pt>
                <c:pt idx="47">
                  <c:v>2449.3110000000001</c:v>
                </c:pt>
              </c:numCache>
            </c:numRef>
          </c:val>
          <c:extLst>
            <c:ext xmlns:c16="http://schemas.microsoft.com/office/drawing/2014/chart" uri="{C3380CC4-5D6E-409C-BE32-E72D297353CC}">
              <c16:uniqueId val="{00000000-83BA-4D71-8DF9-C1EC2E23B5FE}"/>
            </c:ext>
          </c:extLst>
        </c:ser>
        <c:dLbls>
          <c:dLblPos val="outEnd"/>
          <c:showLegendKey val="0"/>
          <c:showVal val="1"/>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logBase val="10"/>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Emissioni specifiche medie in atmosfera fra il 2011 e il 2019 (t/GWhe di CO)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8"/>
          <c:order val="0"/>
          <c:tx>
            <c:v>Emissioni specifiche totali in atmosfera</c:v>
          </c:tx>
          <c:spPr>
            <a:solidFill>
              <a:schemeClr val="accent1">
                <a:shade val="44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8"/>
              <c:pt idx="0">
                <c:v>1</c:v>
              </c:pt>
              <c:pt idx="1">
                <c:v>2</c:v>
              </c:pt>
              <c:pt idx="2">
                <c:v>3</c:v>
              </c:pt>
              <c:pt idx="3">
                <c:v>4</c:v>
              </c:pt>
              <c:pt idx="4">
                <c:v>6</c:v>
              </c:pt>
              <c:pt idx="5">
                <c:v>7</c:v>
              </c:pt>
              <c:pt idx="6">
                <c:v>8</c:v>
              </c:pt>
              <c:pt idx="7">
                <c:v>9</c:v>
              </c:pt>
              <c:pt idx="8">
                <c:v>10</c:v>
              </c:pt>
              <c:pt idx="9">
                <c:v>11</c:v>
              </c:pt>
              <c:pt idx="10">
                <c:v>12</c:v>
              </c:pt>
              <c:pt idx="11">
                <c:v>13</c:v>
              </c:pt>
              <c:pt idx="12">
                <c:v>14</c:v>
              </c:pt>
              <c:pt idx="13">
                <c:v>15</c:v>
              </c:pt>
              <c:pt idx="14">
                <c:v>16</c:v>
              </c:pt>
              <c:pt idx="15">
                <c:v>17</c:v>
              </c:pt>
              <c:pt idx="16">
                <c:v>18</c:v>
              </c:pt>
              <c:pt idx="17">
                <c:v>19</c:v>
              </c:pt>
              <c:pt idx="18">
                <c:v>20</c:v>
              </c:pt>
              <c:pt idx="19">
                <c:v>21</c:v>
              </c:pt>
              <c:pt idx="20">
                <c:v>22</c:v>
              </c:pt>
              <c:pt idx="21">
                <c:v>23</c:v>
              </c:pt>
              <c:pt idx="22">
                <c:v>24</c:v>
              </c:pt>
              <c:pt idx="23">
                <c:v>25</c:v>
              </c:pt>
              <c:pt idx="24">
                <c:v>26</c:v>
              </c:pt>
              <c:pt idx="25">
                <c:v>27</c:v>
              </c:pt>
              <c:pt idx="26">
                <c:v>28</c:v>
              </c:pt>
              <c:pt idx="27">
                <c:v>29</c:v>
              </c:pt>
              <c:pt idx="28">
                <c:v>30</c:v>
              </c:pt>
              <c:pt idx="29">
                <c:v>31</c:v>
              </c:pt>
              <c:pt idx="30">
                <c:v>32</c:v>
              </c:pt>
              <c:pt idx="31">
                <c:v>33</c:v>
              </c:pt>
              <c:pt idx="32">
                <c:v>34</c:v>
              </c:pt>
              <c:pt idx="33">
                <c:v>35</c:v>
              </c:pt>
              <c:pt idx="34">
                <c:v>36</c:v>
              </c:pt>
              <c:pt idx="35">
                <c:v>37</c:v>
              </c:pt>
              <c:pt idx="36">
                <c:v>38</c:v>
              </c:pt>
              <c:pt idx="37">
                <c:v>39</c:v>
              </c:pt>
              <c:pt idx="38">
                <c:v>40</c:v>
              </c:pt>
              <c:pt idx="39">
                <c:v>41</c:v>
              </c:pt>
              <c:pt idx="40">
                <c:v>42</c:v>
              </c:pt>
              <c:pt idx="41">
                <c:v>43</c:v>
              </c:pt>
              <c:pt idx="42">
                <c:v>44</c:v>
              </c:pt>
              <c:pt idx="43">
                <c:v>45</c:v>
              </c:pt>
              <c:pt idx="44">
                <c:v>46</c:v>
              </c:pt>
              <c:pt idx="45">
                <c:v>47</c:v>
              </c:pt>
              <c:pt idx="46">
                <c:v>48</c:v>
              </c:pt>
              <c:pt idx="47">
                <c:v>49</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'Analisi dati, formula corretta'!$CZ$4:$CZ$52</c15:sqref>
                  </c15:fullRef>
                </c:ext>
              </c:extLst>
              <c:f>('Analisi dati, formula corretta'!$CZ$4:$CZ$7,'Analisi dati, formula corretta'!$CZ$9:$CZ$52)</c:f>
              <c:numCache>
                <c:formatCode>#,##0.00000</c:formatCode>
                <c:ptCount val="48"/>
                <c:pt idx="0">
                  <c:v>1.7206544706708675E-2</c:v>
                </c:pt>
                <c:pt idx="1">
                  <c:v>1.0577603704554671E-2</c:v>
                </c:pt>
                <c:pt idx="2">
                  <c:v>0.15161582016000033</c:v>
                </c:pt>
                <c:pt idx="3">
                  <c:v>0.26241251082737027</c:v>
                </c:pt>
                <c:pt idx="4">
                  <c:v>1.2636230211289901</c:v>
                </c:pt>
                <c:pt idx="5">
                  <c:v>0.2672229948075695</c:v>
                </c:pt>
                <c:pt idx="6">
                  <c:v>5.2007602553444283E-2</c:v>
                </c:pt>
                <c:pt idx="7">
                  <c:v>3.1967084784456541E-2</c:v>
                </c:pt>
                <c:pt idx="8">
                  <c:v>1.4688589058792164E-2</c:v>
                </c:pt>
                <c:pt idx="9">
                  <c:v>1.1815659851562408E-2</c:v>
                </c:pt>
                <c:pt idx="10">
                  <c:v>0.230007307553798</c:v>
                </c:pt>
                <c:pt idx="11">
                  <c:v>0.49251572496553042</c:v>
                </c:pt>
                <c:pt idx="12">
                  <c:v>0.27798062760855152</c:v>
                </c:pt>
                <c:pt idx="13">
                  <c:v>7.589420852696334E-3</c:v>
                </c:pt>
                <c:pt idx="14">
                  <c:v>2.3939924129478502E-2</c:v>
                </c:pt>
                <c:pt idx="15">
                  <c:v>0.36311309473407888</c:v>
                </c:pt>
                <c:pt idx="16">
                  <c:v>4.6087687228549265E-2</c:v>
                </c:pt>
                <c:pt idx="17">
                  <c:v>3.245544266137005E-2</c:v>
                </c:pt>
                <c:pt idx="18">
                  <c:v>1.0961417742979552E-2</c:v>
                </c:pt>
                <c:pt idx="19">
                  <c:v>1.5270813269244886E-2</c:v>
                </c:pt>
                <c:pt idx="20">
                  <c:v>6.6339164646962781E-2</c:v>
                </c:pt>
                <c:pt idx="21">
                  <c:v>7.7788185570131396E-2</c:v>
                </c:pt>
                <c:pt idx="22">
                  <c:v>7.2211519011820602E-2</c:v>
                </c:pt>
                <c:pt idx="23">
                  <c:v>9.0131144693291389E-3</c:v>
                </c:pt>
                <c:pt idx="24">
                  <c:v>7.136882506418403E-2</c:v>
                </c:pt>
                <c:pt idx="25">
                  <c:v>2.8082515660120877E-2</c:v>
                </c:pt>
                <c:pt idx="26">
                  <c:v>4.1891122834207692E-2</c:v>
                </c:pt>
                <c:pt idx="27">
                  <c:v>5.5994489230659283E-3</c:v>
                </c:pt>
                <c:pt idx="28">
                  <c:v>0.17721291261278913</c:v>
                </c:pt>
                <c:pt idx="29">
                  <c:v>3.1660043893083016E-2</c:v>
                </c:pt>
                <c:pt idx="30">
                  <c:v>9.365840361429785E-2</c:v>
                </c:pt>
                <c:pt idx="31">
                  <c:v>4.5092343695832898E-2</c:v>
                </c:pt>
                <c:pt idx="32">
                  <c:v>1.124504158717375E-2</c:v>
                </c:pt>
                <c:pt idx="33">
                  <c:v>7.1944687042518427E-2</c:v>
                </c:pt>
                <c:pt idx="34">
                  <c:v>1.0699025865887338E-2</c:v>
                </c:pt>
                <c:pt idx="35">
                  <c:v>0.11252126422032944</c:v>
                </c:pt>
                <c:pt idx="36">
                  <c:v>0.12446636110543119</c:v>
                </c:pt>
                <c:pt idx="37">
                  <c:v>4.3894850914731526E-2</c:v>
                </c:pt>
                <c:pt idx="38">
                  <c:v>0.13735138805781563</c:v>
                </c:pt>
                <c:pt idx="39">
                  <c:v>0.15206838479177745</c:v>
                </c:pt>
                <c:pt idx="40">
                  <c:v>0.15231708076235762</c:v>
                </c:pt>
                <c:pt idx="41">
                  <c:v>0.37089150819862632</c:v>
                </c:pt>
                <c:pt idx="42">
                  <c:v>1.633019973593295E-2</c:v>
                </c:pt>
                <c:pt idx="43">
                  <c:v>0.18702869662746407</c:v>
                </c:pt>
                <c:pt idx="44">
                  <c:v>7.9819655341313439E-2</c:v>
                </c:pt>
                <c:pt idx="45">
                  <c:v>1.412254603893515E-2</c:v>
                </c:pt>
                <c:pt idx="46">
                  <c:v>0.1033769266265861</c:v>
                </c:pt>
                <c:pt idx="47">
                  <c:v>0.19214293480365333</c:v>
                </c:pt>
              </c:numCache>
            </c:numRef>
          </c:val>
          <c:extLst>
            <c:ext xmlns:c16="http://schemas.microsoft.com/office/drawing/2014/chart" uri="{C3380CC4-5D6E-409C-BE32-E72D297353CC}">
              <c16:uniqueId val="{00000000-9FE5-4096-BB8C-14072123DD9F}"/>
            </c:ext>
          </c:extLst>
        </c:ser>
        <c:dLbls>
          <c:dLblPos val="outEnd"/>
          <c:showLegendKey val="0"/>
          <c:showVal val="1"/>
          <c:showCatName val="0"/>
          <c:showSerName val="0"/>
          <c:showPercent val="0"/>
          <c:showBubbleSize val="0"/>
        </c:dLbls>
        <c:gapWidth val="219"/>
        <c:overlap val="-27"/>
        <c:axId val="55998191"/>
        <c:axId val="55996943"/>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8"/>
    </mc:Choice>
    <mc:Fallback>
      <c:style val="8"/>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Emissioni totali in atmosfera fra il 2011 e il 2019 (t di SOx)</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8"/>
          <c:order val="0"/>
          <c:tx>
            <c:v>Emissioni totali in atmosfera</c:v>
          </c:tx>
          <c:spPr>
            <a:solidFill>
              <a:schemeClr val="accent6">
                <a:tint val="44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'Analisi dati, formula corretta'!$DV$4:$DV$52</c:f>
              <c:numCache>
                <c:formatCode>#,##0.00000</c:formatCode>
                <c:ptCount val="49"/>
                <c:pt idx="0">
                  <c:v>0</c:v>
                </c:pt>
                <c:pt idx="1">
                  <c:v>0</c:v>
                </c:pt>
                <c:pt idx="2">
                  <c:v>16152</c:v>
                </c:pt>
                <c:pt idx="3">
                  <c:v>0</c:v>
                </c:pt>
                <c:pt idx="4">
                  <c:v>950.1</c:v>
                </c:pt>
                <c:pt idx="5">
                  <c:v>7.0000000000000007E-2</c:v>
                </c:pt>
                <c:pt idx="6">
                  <c:v>13186</c:v>
                </c:pt>
                <c:pt idx="7">
                  <c:v>0</c:v>
                </c:pt>
                <c:pt idx="8">
                  <c:v>6654</c:v>
                </c:pt>
                <c:pt idx="9">
                  <c:v>0</c:v>
                </c:pt>
                <c:pt idx="10">
                  <c:v>0</c:v>
                </c:pt>
                <c:pt idx="11">
                  <c:v>0</c:v>
                </c:pt>
                <c:pt idx="12">
                  <c:v>22.105</c:v>
                </c:pt>
                <c:pt idx="13">
                  <c:v>16315</c:v>
                </c:pt>
                <c:pt idx="14">
                  <c:v>21381</c:v>
                </c:pt>
                <c:pt idx="15">
                  <c:v>0</c:v>
                </c:pt>
                <c:pt idx="16">
                  <c:v>0</c:v>
                </c:pt>
                <c:pt idx="17">
                  <c:v>0</c:v>
                </c:pt>
                <c:pt idx="18">
                  <c:v>0</c:v>
                </c:pt>
                <c:pt idx="19">
                  <c:v>0</c:v>
                </c:pt>
                <c:pt idx="20">
                  <c:v>0</c:v>
                </c:pt>
                <c:pt idx="21">
                  <c:v>0</c:v>
                </c:pt>
                <c:pt idx="22">
                  <c:v>0</c:v>
                </c:pt>
                <c:pt idx="23">
                  <c:v>0</c:v>
                </c:pt>
                <c:pt idx="24">
                  <c:v>0</c:v>
                </c:pt>
                <c:pt idx="25">
                  <c:v>0</c:v>
                </c:pt>
                <c:pt idx="26">
                  <c:v>2.23</c:v>
                </c:pt>
                <c:pt idx="27">
                  <c:v>0</c:v>
                </c:pt>
                <c:pt idx="28">
                  <c:v>0</c:v>
                </c:pt>
                <c:pt idx="29">
                  <c:v>0</c:v>
                </c:pt>
                <c:pt idx="30">
                  <c:v>0</c:v>
                </c:pt>
                <c:pt idx="31">
                  <c:v>8.6325999999999983</c:v>
                </c:pt>
                <c:pt idx="32">
                  <c:v>11714.4</c:v>
                </c:pt>
                <c:pt idx="33">
                  <c:v>0</c:v>
                </c:pt>
                <c:pt idx="34">
                  <c:v>0</c:v>
                </c:pt>
                <c:pt idx="35">
                  <c:v>0</c:v>
                </c:pt>
                <c:pt idx="36">
                  <c:v>19.710458000000003</c:v>
                </c:pt>
                <c:pt idx="37">
                  <c:v>0</c:v>
                </c:pt>
                <c:pt idx="38">
                  <c:v>0</c:v>
                </c:pt>
                <c:pt idx="39">
                  <c:v>0</c:v>
                </c:pt>
                <c:pt idx="40">
                  <c:v>0</c:v>
                </c:pt>
                <c:pt idx="41">
                  <c:v>38209</c:v>
                </c:pt>
                <c:pt idx="42">
                  <c:v>0</c:v>
                </c:pt>
                <c:pt idx="43">
                  <c:v>1130.2500000000002</c:v>
                </c:pt>
                <c:pt idx="44">
                  <c:v>0</c:v>
                </c:pt>
                <c:pt idx="45">
                  <c:v>0</c:v>
                </c:pt>
                <c:pt idx="46">
                  <c:v>0</c:v>
                </c:pt>
                <c:pt idx="47">
                  <c:v>0</c:v>
                </c:pt>
                <c:pt idx="48">
                  <c:v>0</c:v>
                </c:pt>
              </c:numCache>
            </c:numRef>
          </c:val>
          <c:extLst>
            <c:ext xmlns:c16="http://schemas.microsoft.com/office/drawing/2014/chart" uri="{C3380CC4-5D6E-409C-BE32-E72D297353CC}">
              <c16:uniqueId val="{00000000-E191-4DC2-87C5-F921B296DE5C}"/>
            </c:ext>
          </c:extLst>
        </c:ser>
        <c:dLbls>
          <c:dLblPos val="outEnd"/>
          <c:showLegendKey val="0"/>
          <c:showVal val="1"/>
          <c:showCatName val="0"/>
          <c:showSerName val="0"/>
          <c:showPercent val="0"/>
          <c:showBubbleSize val="0"/>
        </c:dLbls>
        <c:gapWidth val="219"/>
        <c:overlap val="-27"/>
        <c:axId val="55998191"/>
        <c:axId val="55996943"/>
        <c:extLst/>
      </c:barChart>
      <c:catAx>
        <c:axId val="5599819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logBase val="10"/>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Emissioni specifiche medie in atmosfera fra il 2011 e il 2019 (t/GWhe di SOx)</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8"/>
          <c:order val="0"/>
          <c:tx>
            <c:v>Emissioni specifiche totali in atmosfera</c:v>
          </c:tx>
          <c:spPr>
            <a:solidFill>
              <a:schemeClr val="accent1">
                <a:shade val="44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'Analisi dati, formula corretta'!$DW$4:$DW$52</c:f>
              <c:numCache>
                <c:formatCode>#,##0.00000</c:formatCode>
                <c:ptCount val="49"/>
                <c:pt idx="0">
                  <c:v>0</c:v>
                </c:pt>
                <c:pt idx="1">
                  <c:v>0</c:v>
                </c:pt>
                <c:pt idx="2">
                  <c:v>0.17280922281840153</c:v>
                </c:pt>
                <c:pt idx="3">
                  <c:v>0</c:v>
                </c:pt>
                <c:pt idx="4">
                  <c:v>0.24226874417611766</c:v>
                </c:pt>
                <c:pt idx="5">
                  <c:v>1.5861102685213273E-4</c:v>
                </c:pt>
                <c:pt idx="6">
                  <c:v>0.95101293894667505</c:v>
                </c:pt>
                <c:pt idx="7">
                  <c:v>0</c:v>
                </c:pt>
                <c:pt idx="8">
                  <c:v>0.35852407955798682</c:v>
                </c:pt>
                <c:pt idx="9">
                  <c:v>0</c:v>
                </c:pt>
                <c:pt idx="10">
                  <c:v>0</c:v>
                </c:pt>
                <c:pt idx="11">
                  <c:v>0</c:v>
                </c:pt>
                <c:pt idx="12">
                  <c:v>3.5685632499426862E-3</c:v>
                </c:pt>
                <c:pt idx="13">
                  <c:v>0.69051975388264819</c:v>
                </c:pt>
                <c:pt idx="14">
                  <c:v>0.72117125753321221</c:v>
                </c:pt>
                <c:pt idx="15">
                  <c:v>0</c:v>
                </c:pt>
                <c:pt idx="16">
                  <c:v>0</c:v>
                </c:pt>
                <c:pt idx="17">
                  <c:v>0</c:v>
                </c:pt>
                <c:pt idx="18">
                  <c:v>0</c:v>
                </c:pt>
                <c:pt idx="19">
                  <c:v>0</c:v>
                </c:pt>
                <c:pt idx="20">
                  <c:v>0</c:v>
                </c:pt>
                <c:pt idx="21">
                  <c:v>0</c:v>
                </c:pt>
                <c:pt idx="22">
                  <c:v>0</c:v>
                </c:pt>
                <c:pt idx="23">
                  <c:v>0</c:v>
                </c:pt>
                <c:pt idx="24">
                  <c:v>0</c:v>
                </c:pt>
                <c:pt idx="25">
                  <c:v>0</c:v>
                </c:pt>
                <c:pt idx="26">
                  <c:v>2.1973284933906826E-3</c:v>
                </c:pt>
                <c:pt idx="27">
                  <c:v>0</c:v>
                </c:pt>
                <c:pt idx="28">
                  <c:v>0</c:v>
                </c:pt>
                <c:pt idx="29">
                  <c:v>0</c:v>
                </c:pt>
                <c:pt idx="30">
                  <c:v>0</c:v>
                </c:pt>
                <c:pt idx="31">
                  <c:v>4.2634410065981931E-3</c:v>
                </c:pt>
                <c:pt idx="32">
                  <c:v>0.3255188716198838</c:v>
                </c:pt>
                <c:pt idx="33">
                  <c:v>0</c:v>
                </c:pt>
                <c:pt idx="34">
                  <c:v>0</c:v>
                </c:pt>
                <c:pt idx="35">
                  <c:v>0</c:v>
                </c:pt>
                <c:pt idx="36">
                  <c:v>0.13184643605780758</c:v>
                </c:pt>
                <c:pt idx="37">
                  <c:v>0</c:v>
                </c:pt>
                <c:pt idx="38">
                  <c:v>0</c:v>
                </c:pt>
                <c:pt idx="39">
                  <c:v>0</c:v>
                </c:pt>
                <c:pt idx="40">
                  <c:v>0</c:v>
                </c:pt>
                <c:pt idx="41">
                  <c:v>0.40506486571086803</c:v>
                </c:pt>
                <c:pt idx="42">
                  <c:v>0</c:v>
                </c:pt>
                <c:pt idx="43">
                  <c:v>3.9069166973158681E-2</c:v>
                </c:pt>
                <c:pt idx="44">
                  <c:v>0</c:v>
                </c:pt>
                <c:pt idx="45">
                  <c:v>0</c:v>
                </c:pt>
                <c:pt idx="46">
                  <c:v>0</c:v>
                </c:pt>
                <c:pt idx="47">
                  <c:v>0</c:v>
                </c:pt>
                <c:pt idx="48">
                  <c:v>0</c:v>
                </c:pt>
              </c:numCache>
            </c:numRef>
          </c:val>
          <c:extLst>
            <c:ext xmlns:c16="http://schemas.microsoft.com/office/drawing/2014/chart" uri="{C3380CC4-5D6E-409C-BE32-E72D297353CC}">
              <c16:uniqueId val="{00000000-2CD8-4456-BA49-3B346484476A}"/>
            </c:ext>
          </c:extLst>
        </c:ser>
        <c:dLbls>
          <c:dLblPos val="outEnd"/>
          <c:showLegendKey val="0"/>
          <c:showVal val="1"/>
          <c:showCatName val="0"/>
          <c:showSerName val="0"/>
          <c:showPercent val="0"/>
          <c:showBubbleSize val="0"/>
        </c:dLbls>
        <c:gapWidth val="219"/>
        <c:overlap val="-27"/>
        <c:axId val="55998191"/>
        <c:axId val="55996943"/>
        <c:extLst/>
      </c:barChart>
      <c:catAx>
        <c:axId val="55998191"/>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Numero</a:t>
            </a:r>
            <a:r>
              <a:rPr lang="it-IT" baseline="0"/>
              <a:t> di incongruenze totali rilevate per emissione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'Confronto delle emissioni'!$AN$9:$AN$12</c:f>
              <c:strCache>
                <c:ptCount val="4"/>
                <c:pt idx="0">
                  <c:v>NOx</c:v>
                </c:pt>
                <c:pt idx="1">
                  <c:v>CO</c:v>
                </c:pt>
                <c:pt idx="2">
                  <c:v>CO2</c:v>
                </c:pt>
                <c:pt idx="3">
                  <c:v>SOx</c:v>
                </c:pt>
              </c:strCache>
            </c:strRef>
          </c:cat>
          <c:val>
            <c:numRef>
              <c:f>'Confronto delle emissioni'!$AO$9:$AO$12</c:f>
              <c:numCache>
                <c:formatCode>General</c:formatCode>
                <c:ptCount val="4"/>
                <c:pt idx="0">
                  <c:v>16</c:v>
                </c:pt>
                <c:pt idx="1">
                  <c:v>6</c:v>
                </c:pt>
                <c:pt idx="2">
                  <c:v>1</c:v>
                </c:pt>
                <c:pt idx="3">
                  <c:v>2</c:v>
                </c:pt>
              </c:numCache>
            </c:numRef>
          </c:val>
          <c:extLst>
            <c:ext xmlns:c16="http://schemas.microsoft.com/office/drawing/2014/chart" uri="{C3380CC4-5D6E-409C-BE32-E72D297353CC}">
              <c16:uniqueId val="{00000000-E7C5-4DC5-8E14-54FD4E767118}"/>
            </c:ext>
          </c:extLst>
        </c:ser>
        <c:dLbls>
          <c:dLblPos val="outEnd"/>
          <c:showLegendKey val="0"/>
          <c:showVal val="1"/>
          <c:showCatName val="0"/>
          <c:showSerName val="0"/>
          <c:showPercent val="0"/>
          <c:showBubbleSize val="0"/>
        </c:dLbls>
        <c:gapWidth val="219"/>
        <c:overlap val="-27"/>
        <c:axId val="670457120"/>
        <c:axId val="670451712"/>
      </c:barChart>
      <c:catAx>
        <c:axId val="670457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670451712"/>
        <c:crosses val="autoZero"/>
        <c:auto val="1"/>
        <c:lblAlgn val="ctr"/>
        <c:lblOffset val="100"/>
        <c:noMultiLvlLbl val="0"/>
      </c:catAx>
      <c:valAx>
        <c:axId val="67045171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6704571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Le</a:t>
            </a:r>
            <a:r>
              <a:rPr lang="it-IT" baseline="0"/>
              <a:t> normative di gestione delle centrali elettriche</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0"/>
          <c:order val="0"/>
          <c:spPr>
            <a:solidFill>
              <a:schemeClr val="accent1"/>
            </a:solidFill>
            <a:ln>
              <a:noFill/>
            </a:ln>
            <a:effectLst/>
          </c:spPr>
          <c:invertIfNegative val="0"/>
          <c:cat>
            <c:strRef>
              <c:f>'Confronto delle emissioni'!$AS$33:$AS$36</c:f>
              <c:strCache>
                <c:ptCount val="4"/>
                <c:pt idx="0">
                  <c:v>ISO 9001</c:v>
                </c:pt>
                <c:pt idx="1">
                  <c:v>ISO 14001</c:v>
                </c:pt>
                <c:pt idx="2">
                  <c:v>ISO 45001</c:v>
                </c:pt>
                <c:pt idx="3">
                  <c:v>ISO 50001</c:v>
                </c:pt>
              </c:strCache>
            </c:strRef>
          </c:cat>
          <c:val>
            <c:numRef>
              <c:f>'Confronto delle emissioni'!$AT$33:$AT$36</c:f>
              <c:numCache>
                <c:formatCode>General</c:formatCode>
                <c:ptCount val="4"/>
                <c:pt idx="0">
                  <c:v>16</c:v>
                </c:pt>
                <c:pt idx="1">
                  <c:v>49</c:v>
                </c:pt>
                <c:pt idx="2">
                  <c:v>46</c:v>
                </c:pt>
                <c:pt idx="3">
                  <c:v>20</c:v>
                </c:pt>
              </c:numCache>
            </c:numRef>
          </c:val>
          <c:extLst>
            <c:ext xmlns:c16="http://schemas.microsoft.com/office/drawing/2014/chart" uri="{C3380CC4-5D6E-409C-BE32-E72D297353CC}">
              <c16:uniqueId val="{00000000-0760-4623-AB56-DC9F44B6C143}"/>
            </c:ext>
          </c:extLst>
        </c:ser>
        <c:dLbls>
          <c:showLegendKey val="0"/>
          <c:showVal val="0"/>
          <c:showCatName val="0"/>
          <c:showSerName val="0"/>
          <c:showPercent val="0"/>
          <c:showBubbleSize val="0"/>
        </c:dLbls>
        <c:gapWidth val="219"/>
        <c:overlap val="-27"/>
        <c:axId val="421830799"/>
        <c:axId val="421849519"/>
      </c:barChart>
      <c:catAx>
        <c:axId val="421830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421849519"/>
        <c:crosses val="autoZero"/>
        <c:auto val="1"/>
        <c:lblAlgn val="ctr"/>
        <c:lblOffset val="100"/>
        <c:noMultiLvlLbl val="0"/>
      </c:catAx>
      <c:valAx>
        <c:axId val="42184951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421830799"/>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baseline="0"/>
              <a:t>Normative di gestione applicate all'interno dei rispettivi SGI</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bar"/>
        <c:grouping val="clustered"/>
        <c:varyColors val="0"/>
        <c:ser>
          <c:idx val="0"/>
          <c:order val="0"/>
          <c:spPr>
            <a:solidFill>
              <a:schemeClr val="accent1"/>
            </a:solidFill>
            <a:ln>
              <a:noFill/>
            </a:ln>
            <a:effectLst/>
          </c:spPr>
          <c:invertIfNegative val="0"/>
          <c:cat>
            <c:strRef>
              <c:f>'Confronto delle emissioni'!$AS$54:$AS$58</c:f>
              <c:strCache>
                <c:ptCount val="5"/>
                <c:pt idx="0">
                  <c:v>ISO 9001, ISO 14001, ISO 45001, ISO 50001.</c:v>
                </c:pt>
                <c:pt idx="1">
                  <c:v>Solo ISO 14001 e/o EMAS.</c:v>
                </c:pt>
                <c:pt idx="2">
                  <c:v>ISO 14001, 45001.</c:v>
                </c:pt>
                <c:pt idx="3">
                  <c:v>ISO 14001, 45001, 50001.</c:v>
                </c:pt>
                <c:pt idx="4">
                  <c:v>ISO 9001, ISO 14001, 45001.</c:v>
                </c:pt>
              </c:strCache>
            </c:strRef>
          </c:cat>
          <c:val>
            <c:numRef>
              <c:f>'Confronto delle emissioni'!$AT$54:$AT$58</c:f>
              <c:numCache>
                <c:formatCode>General</c:formatCode>
                <c:ptCount val="5"/>
                <c:pt idx="0">
                  <c:v>15</c:v>
                </c:pt>
                <c:pt idx="1">
                  <c:v>4</c:v>
                </c:pt>
                <c:pt idx="2">
                  <c:v>25</c:v>
                </c:pt>
                <c:pt idx="3">
                  <c:v>5</c:v>
                </c:pt>
                <c:pt idx="4">
                  <c:v>1</c:v>
                </c:pt>
              </c:numCache>
            </c:numRef>
          </c:val>
          <c:extLst>
            <c:ext xmlns:c16="http://schemas.microsoft.com/office/drawing/2014/chart" uri="{C3380CC4-5D6E-409C-BE32-E72D297353CC}">
              <c16:uniqueId val="{00000000-F712-4E38-A969-EA928A133652}"/>
            </c:ext>
          </c:extLst>
        </c:ser>
        <c:dLbls>
          <c:showLegendKey val="0"/>
          <c:showVal val="0"/>
          <c:showCatName val="0"/>
          <c:showSerName val="0"/>
          <c:showPercent val="0"/>
          <c:showBubbleSize val="0"/>
        </c:dLbls>
        <c:gapWidth val="182"/>
        <c:axId val="267562415"/>
        <c:axId val="267562831"/>
      </c:barChart>
      <c:catAx>
        <c:axId val="26756241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67562831"/>
        <c:crosses val="autoZero"/>
        <c:auto val="1"/>
        <c:lblAlgn val="ctr"/>
        <c:lblOffset val="100"/>
        <c:noMultiLvlLbl val="0"/>
      </c:catAx>
      <c:valAx>
        <c:axId val="26756283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26756241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it-IT"/>
              <a:t>Composizione del campione</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it-IT"/>
        </a:p>
      </c:txPr>
    </c:title>
    <c:autoTitleDeleted val="0"/>
    <c:plotArea>
      <c:layout/>
      <c:pieChart>
        <c:varyColors val="1"/>
        <c:ser>
          <c:idx val="0"/>
          <c:order val="0"/>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1A1B-4BB2-9E83-016D154EB093}"/>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1A1B-4BB2-9E83-016D154EB093}"/>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1A1B-4BB2-9E83-016D154EB093}"/>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'Confronto delle emissioni'!$AW$73:$AW$75</c:f>
              <c:strCache>
                <c:ptCount val="3"/>
                <c:pt idx="0">
                  <c:v>Carbone</c:v>
                </c:pt>
                <c:pt idx="1">
                  <c:v>Ciclo combinato a gas naturale</c:v>
                </c:pt>
                <c:pt idx="2">
                  <c:v>Cogenerazione</c:v>
                </c:pt>
              </c:strCache>
            </c:strRef>
          </c:cat>
          <c:val>
            <c:numRef>
              <c:f>'Confronto delle emissioni'!$AX$73:$AX$75</c:f>
              <c:numCache>
                <c:formatCode>General</c:formatCode>
                <c:ptCount val="3"/>
                <c:pt idx="0">
                  <c:v>7</c:v>
                </c:pt>
                <c:pt idx="1">
                  <c:v>25</c:v>
                </c:pt>
                <c:pt idx="2">
                  <c:v>17</c:v>
                </c:pt>
              </c:numCache>
            </c:numRef>
          </c:val>
          <c:extLst>
            <c:ext xmlns:c16="http://schemas.microsoft.com/office/drawing/2014/chart" uri="{C3380CC4-5D6E-409C-BE32-E72D297353CC}">
              <c16:uniqueId val="{00000000-FEBA-41B6-9A7D-BEFCF0FBAAB7}"/>
            </c:ext>
          </c:extLst>
        </c:ser>
        <c:ser>
          <c:idx val="1"/>
          <c:order val="1"/>
          <c:dPt>
            <c:idx val="0"/>
            <c:bubble3D val="0"/>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1A1B-4BB2-9E83-016D154EB093}"/>
              </c:ext>
            </c:extLst>
          </c:dPt>
          <c:dPt>
            <c:idx val="1"/>
            <c:bubble3D val="0"/>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9-1A1B-4BB2-9E83-016D154EB093}"/>
              </c:ext>
            </c:extLst>
          </c:dPt>
          <c:dPt>
            <c:idx val="2"/>
            <c:bubble3D val="0"/>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B-1A1B-4BB2-9E83-016D154EB093}"/>
              </c:ext>
            </c:extLst>
          </c:dPt>
          <c:dLbls>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it-IT"/>
              </a:p>
            </c:txPr>
            <c:dLblPos val="ctr"/>
            <c:showLegendKey val="0"/>
            <c:showVal val="1"/>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'Confronto delle emissioni'!$AW$73:$AW$75</c:f>
              <c:strCache>
                <c:ptCount val="3"/>
                <c:pt idx="0">
                  <c:v>Carbone</c:v>
                </c:pt>
                <c:pt idx="1">
                  <c:v>Ciclo combinato a gas naturale</c:v>
                </c:pt>
                <c:pt idx="2">
                  <c:v>Cogenerazione</c:v>
                </c:pt>
              </c:strCache>
            </c:strRef>
          </c:cat>
          <c:val>
            <c:numRef>
              <c:f>'Confronto delle emissioni'!$AY$73:$AY$75</c:f>
              <c:numCache>
                <c:formatCode>0.00%</c:formatCode>
                <c:ptCount val="3"/>
                <c:pt idx="0">
                  <c:v>0.14285714285714285</c:v>
                </c:pt>
                <c:pt idx="1">
                  <c:v>0.51020408163265307</c:v>
                </c:pt>
                <c:pt idx="2">
                  <c:v>0.34693877551020408</c:v>
                </c:pt>
              </c:numCache>
            </c:numRef>
          </c:val>
          <c:extLst>
            <c:ext xmlns:c16="http://schemas.microsoft.com/office/drawing/2014/chart" uri="{C3380CC4-5D6E-409C-BE32-E72D297353CC}">
              <c16:uniqueId val="{00000001-FEBA-41B6-9A7D-BEFCF0FBAAB7}"/>
            </c:ext>
          </c:extLst>
        </c:ser>
        <c:dLbls>
          <c:dLblPos val="ctr"/>
          <c:showLegendKey val="0"/>
          <c:showVal val="1"/>
          <c:showCatName val="0"/>
          <c:showSerName val="0"/>
          <c:showPercent val="0"/>
          <c:showBubbleSize val="0"/>
          <c:showLeaderLines val="1"/>
        </c:dLbls>
        <c:firstSliceAng val="0"/>
      </c:pie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it-I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Andamento</a:t>
            </a:r>
            <a:r>
              <a:rPr lang="it-IT" baseline="0"/>
              <a:t> delle emissioni specifiche delle centrali di cogenerazione in % di variazione (CO</a:t>
            </a:r>
            <a:r>
              <a:rPr lang="it-IT" baseline="-25000"/>
              <a:t>2</a:t>
            </a:r>
            <a:r>
              <a:rPr lang="it-IT" baseline="0"/>
              <a:t>)</a:t>
            </a:r>
            <a:endParaRPr lang="it-IT"/>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barChart>
        <c:barDir val="col"/>
        <c:grouping val="clustered"/>
        <c:varyColors val="0"/>
        <c:ser>
          <c:idx val="3"/>
          <c:order val="3"/>
          <c:tx>
            <c:v>Variazioni</c:v>
          </c:tx>
          <c:spPr>
            <a:solidFill>
              <a:schemeClr val="accent4"/>
            </a:solidFill>
            <a:ln>
              <a:noFill/>
            </a:ln>
            <a:effectLst/>
          </c:spPr>
          <c:invertIfNegative val="0"/>
          <c:dLbls>
            <c:dLbl>
              <c:idx val="8"/>
              <c:layout>
                <c:manualLayout>
                  <c:x val="-8.4406636959248571E-17"/>
                  <c:y val="-2.26401950539881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7ED-4032-A3FE-B2772DFC0BA1}"/>
                </c:ext>
              </c:extLst>
            </c:dLbl>
            <c:dLbl>
              <c:idx val="17"/>
              <c:layout>
                <c:manualLayout>
                  <c:x val="0"/>
                  <c:y val="-1.54162384378211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D31-4D8F-ACCC-E3C12B075F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Lit>
              <c:formatCode>General</c:formatCode>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numLit>
          </c:cat>
          <c:val>
            <c:numRef>
              <c:f>('Analisi dati, formula corretta'!$BF$5,'Analisi dati, formula corretta'!$BF$8,'Analisi dati, formula corretta'!$BF$22,'Analisi dati, formula corretta'!$BF$25,'Analisi dati, formula corretta'!$BF$26,'Analisi dati, formula corretta'!$BF$27,'Analisi dati, formula corretta'!$BF$28,'Analisi dati, formula corretta'!$BF$31,'Analisi dati, formula corretta'!$BF$33,'Analisi dati, formula corretta'!$BF$35,'Analisi dati, formula corretta'!$BF$37,'Analisi dati, formula corretta'!$BF$40,'Analisi dati, formula corretta'!$BF$43,'Analisi dati, formula corretta'!$BF$44,'Analisi dati, formula corretta'!$BF$47,'Analisi dati, formula corretta'!$BF$49,'Analisi dati, formula corretta'!$BF$50,'Analisi dati, formula corretta'!$BF$52)</c:f>
              <c:numCache>
                <c:formatCode>0.00%</c:formatCode>
                <c:ptCount val="18"/>
                <c:pt idx="0">
                  <c:v>2.3153212719011496E-2</c:v>
                </c:pt>
                <c:pt idx="1">
                  <c:v>0.15928540012985115</c:v>
                </c:pt>
                <c:pt idx="2">
                  <c:v>4.7780397634387795E-2</c:v>
                </c:pt>
                <c:pt idx="3">
                  <c:v>-2.5215167485103773E-2</c:v>
                </c:pt>
                <c:pt idx="4">
                  <c:v>-0.2049835752972331</c:v>
                </c:pt>
                <c:pt idx="5">
                  <c:v>-0.13442147727116716</c:v>
                </c:pt>
                <c:pt idx="6">
                  <c:v>-4.2702296806054973E-2</c:v>
                </c:pt>
                <c:pt idx="7">
                  <c:v>-5.970541731916168E-2</c:v>
                </c:pt>
                <c:pt idx="8">
                  <c:v>-2.0916585047938807E-2</c:v>
                </c:pt>
                <c:pt idx="9">
                  <c:v>4.1471244035566013E-2</c:v>
                </c:pt>
                <c:pt idx="10">
                  <c:v>-0.28902484218697477</c:v>
                </c:pt>
                <c:pt idx="11">
                  <c:v>3.284387888960727E-2</c:v>
                </c:pt>
                <c:pt idx="12">
                  <c:v>-0.51510994785907438</c:v>
                </c:pt>
                <c:pt idx="13">
                  <c:v>-2.2632235245633736E-2</c:v>
                </c:pt>
                <c:pt idx="14">
                  <c:v>-0.12160173709504041</c:v>
                </c:pt>
                <c:pt idx="15">
                  <c:v>-8.9498294543860824E-2</c:v>
                </c:pt>
                <c:pt idx="16">
                  <c:v>-4.6981154796510993E-2</c:v>
                </c:pt>
                <c:pt idx="17">
                  <c:v>-2.1124926525269649E-2</c:v>
                </c:pt>
              </c:numCache>
            </c:numRef>
          </c:val>
          <c:extLst xmlns:c15="http://schemas.microsoft.com/office/drawing/2012/chart">
            <c:ext xmlns:c16="http://schemas.microsoft.com/office/drawing/2014/chart" uri="{C3380CC4-5D6E-409C-BE32-E72D297353CC}">
              <c16:uniqueId val="{00000000-9BEC-4964-8668-8DD02F8A5A09}"/>
            </c:ext>
          </c:extLst>
        </c:ser>
        <c:dLbls>
          <c:showLegendKey val="0"/>
          <c:showVal val="0"/>
          <c:showCatName val="0"/>
          <c:showSerName val="0"/>
          <c:showPercent val="0"/>
          <c:showBubbleSize val="0"/>
        </c:dLbls>
        <c:gapWidth val="219"/>
        <c:overlap val="-27"/>
        <c:axId val="55998191"/>
        <c:axId val="55996943"/>
        <c:extLst>
          <c:ext xmlns:c15="http://schemas.microsoft.com/office/drawing/2012/chart" uri="{02D57815-91ED-43cb-92C2-25804820EDAC}">
            <c15:filteredBarSeries>
              <c15:ser>
                <c:idx val="0"/>
                <c:order val="0"/>
                <c:tx>
                  <c:v>2017</c:v>
                </c:tx>
                <c:spPr>
                  <a:solidFill>
                    <a:schemeClr val="accent1"/>
                  </a:solidFill>
                  <a:ln>
                    <a:noFill/>
                  </a:ln>
                  <a:effectLst/>
                </c:spPr>
                <c:invertIfNegative val="0"/>
                <c:cat>
                  <c:numLit>
                    <c:formatCode>General</c:formatCode>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numLit>
                </c:cat>
                <c:val>
                  <c:numRef>
                    <c:extLst>
                      <c:ext uri="{02D57815-91ED-43cb-92C2-25804820EDAC}">
                        <c15:formulaRef>
                          <c15:sqref>'Analisi dati, formula corretta'!$AZ$4:$AZ$52</c15:sqref>
                        </c15:formulaRef>
                      </c:ext>
                    </c:extLst>
                    <c:numCache>
                      <c:formatCode>#,##0.00</c:formatCode>
                      <c:ptCount val="49"/>
                      <c:pt idx="0">
                        <c:v>368.88</c:v>
                      </c:pt>
                      <c:pt idx="1">
                        <c:v>405.35909752359856</c:v>
                      </c:pt>
                      <c:pt idx="2">
                        <c:v>881.75829941203074</c:v>
                      </c:pt>
                      <c:pt idx="3">
                        <c:v>388.47824696097251</c:v>
                      </c:pt>
                      <c:pt idx="4">
                        <c:v>371</c:v>
                      </c:pt>
                      <c:pt idx="5">
                        <c:v>388.38532110091745</c:v>
                      </c:pt>
                      <c:pt idx="6">
                        <c:v>904.86689132266213</c:v>
                      </c:pt>
                      <c:pt idx="7">
                        <c:v>395.22230272631839</c:v>
                      </c:pt>
                      <c:pt idx="8">
                        <c:v>976.88275862068963</c:v>
                      </c:pt>
                      <c:pt idx="9">
                        <c:v>386.18599926009006</c:v>
                      </c:pt>
                      <c:pt idx="10">
                        <c:v>391.62999138401415</c:v>
                      </c:pt>
                      <c:pt idx="11">
                        <c:v>704.4110766089583</c:v>
                      </c:pt>
                      <c:pt idx="12">
                        <c:v>382.60635433494883</c:v>
                      </c:pt>
                      <c:pt idx="13">
                        <c:v>1014.2599631450249</c:v>
                      </c:pt>
                      <c:pt idx="14">
                        <c:v>985.69424964936889</c:v>
                      </c:pt>
                      <c:pt idx="15">
                        <c:v>395.39834153132517</c:v>
                      </c:pt>
                      <c:pt idx="16">
                        <c:v>387.4130624931002</c:v>
                      </c:pt>
                      <c:pt idx="17">
                        <c:v>364.17587834891265</c:v>
                      </c:pt>
                      <c:pt idx="18">
                        <c:v>281.57096027767068</c:v>
                      </c:pt>
                      <c:pt idx="19">
                        <c:v>407.69128245998718</c:v>
                      </c:pt>
                      <c:pt idx="20">
                        <c:v>388.47391789206461</c:v>
                      </c:pt>
                      <c:pt idx="21">
                        <c:v>248.44577280114868</c:v>
                      </c:pt>
                      <c:pt idx="22">
                        <c:v>245.27063673896387</c:v>
                      </c:pt>
                      <c:pt idx="23">
                        <c:v>267.09954756699329</c:v>
                      </c:pt>
                      <c:pt idx="24">
                        <c:v>324.73430023149348</c:v>
                      </c:pt>
                      <c:pt idx="25">
                        <c:v>398.48632709749376</c:v>
                      </c:pt>
                      <c:pt idx="26">
                        <c:v>482.20290754824356</c:v>
                      </c:pt>
                      <c:pt idx="27">
                        <c:v>231.55753233807644</c:v>
                      </c:pt>
                      <c:pt idx="28">
                        <c:v>408.46366145354187</c:v>
                      </c:pt>
                      <c:pt idx="29">
                        <c:v>259.06890130353821</c:v>
                      </c:pt>
                      <c:pt idx="30">
                        <c:v>384.98705261351364</c:v>
                      </c:pt>
                      <c:pt idx="31">
                        <c:v>287.65724699772517</c:v>
                      </c:pt>
                      <c:pt idx="32">
                        <c:v>1400.4351729065409</c:v>
                      </c:pt>
                      <c:pt idx="33">
                        <c:v>283.14788261666286</c:v>
                      </c:pt>
                      <c:pt idx="34">
                        <c:v>371.53078595186338</c:v>
                      </c:pt>
                      <c:pt idx="35">
                        <c:v>402.85219937028756</c:v>
                      </c:pt>
                      <c:pt idx="36">
                        <c:v>208.95619422805078</c:v>
                      </c:pt>
                      <c:pt idx="37">
                        <c:v>373.0368682992052</c:v>
                      </c:pt>
                      <c:pt idx="38">
                        <c:v>389.85446136501832</c:v>
                      </c:pt>
                      <c:pt idx="39">
                        <c:v>276.88581081081082</c:v>
                      </c:pt>
                      <c:pt idx="40">
                        <c:v>363.98177657120243</c:v>
                      </c:pt>
                      <c:pt idx="41">
                        <c:v>1068.7291356539076</c:v>
                      </c:pt>
                      <c:pt idx="42">
                        <c:v>371.8029686841416</c:v>
                      </c:pt>
                      <c:pt idx="43">
                        <c:v>415.55262710861052</c:v>
                      </c:pt>
                      <c:pt idx="44">
                        <c:v>395.01954948481028</c:v>
                      </c:pt>
                      <c:pt idx="45">
                        <c:v>289.6468877718379</c:v>
                      </c:pt>
                      <c:pt idx="46">
                        <c:v>453.52286643300533</c:v>
                      </c:pt>
                      <c:pt idx="47">
                        <c:v>384.21145770686195</c:v>
                      </c:pt>
                      <c:pt idx="48">
                        <c:v>378.75641083670774</c:v>
                      </c:pt>
                    </c:numCache>
                  </c:numRef>
                </c:val>
                <c:extLst>
                  <c:ext xmlns:c16="http://schemas.microsoft.com/office/drawing/2014/chart" uri="{C3380CC4-5D6E-409C-BE32-E72D297353CC}">
                    <c16:uniqueId val="{00000001-9BEC-4964-8668-8DD02F8A5A09}"/>
                  </c:ext>
                </c:extLst>
              </c15:ser>
            </c15:filteredBarSeries>
            <c15:filteredBarSeries>
              <c15:ser>
                <c:idx val="1"/>
                <c:order val="1"/>
                <c:tx>
                  <c:v>2018</c:v>
                </c:tx>
                <c:spPr>
                  <a:solidFill>
                    <a:schemeClr val="accent2"/>
                  </a:solidFill>
                  <a:ln>
                    <a:noFill/>
                  </a:ln>
                  <a:effectLst/>
                </c:spPr>
                <c:invertIfNegative val="0"/>
                <c:cat>
                  <c:numLit>
                    <c:formatCode>General</c:formatCode>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numLit>
                </c:cat>
                <c:val>
                  <c:numRef>
                    <c:extLst xmlns:c15="http://schemas.microsoft.com/office/drawing/2012/chart">
                      <c:ext xmlns:c15="http://schemas.microsoft.com/office/drawing/2012/chart" uri="{02D57815-91ED-43cb-92C2-25804820EDAC}">
                        <c15:formulaRef>
                          <c15:sqref>'Analisi dati, formula corretta'!$BA$4:$BA$52</c15:sqref>
                        </c15:formulaRef>
                      </c:ext>
                    </c:extLst>
                    <c:numCache>
                      <c:formatCode>#,##0.00</c:formatCode>
                      <c:ptCount val="49"/>
                      <c:pt idx="0">
                        <c:v>419.89</c:v>
                      </c:pt>
                      <c:pt idx="1">
                        <c:v>409.58238022968067</c:v>
                      </c:pt>
                      <c:pt idx="2">
                        <c:v>926.72316513761473</c:v>
                      </c:pt>
                      <c:pt idx="3">
                        <c:v>381.0792815113038</c:v>
                      </c:pt>
                      <c:pt idx="4">
                        <c:v>371</c:v>
                      </c:pt>
                      <c:pt idx="5">
                        <c:v>406.27387996618768</c:v>
                      </c:pt>
                      <c:pt idx="6">
                        <c:v>911.67606915377621</c:v>
                      </c:pt>
                      <c:pt idx="7">
                        <c:v>388.20765449918542</c:v>
                      </c:pt>
                      <c:pt idx="8">
                        <c:v>986.56227461858532</c:v>
                      </c:pt>
                      <c:pt idx="9">
                        <c:v>386.67514957901295</c:v>
                      </c:pt>
                      <c:pt idx="10">
                        <c:v>387.01950587966007</c:v>
                      </c:pt>
                      <c:pt idx="11">
                        <c:v>723.44061520934213</c:v>
                      </c:pt>
                      <c:pt idx="12">
                        <c:v>387.13318284424378</c:v>
                      </c:pt>
                      <c:pt idx="13">
                        <c:v>1019.6104139153898</c:v>
                      </c:pt>
                      <c:pt idx="14">
                        <c:v>988.42664998436032</c:v>
                      </c:pt>
                      <c:pt idx="15">
                        <c:v>387.90872892767277</c:v>
                      </c:pt>
                      <c:pt idx="16">
                        <c:v>394.07139945256534</c:v>
                      </c:pt>
                      <c:pt idx="17">
                        <c:v>367.13450773789924</c:v>
                      </c:pt>
                      <c:pt idx="18">
                        <c:v>298.59904118544347</c:v>
                      </c:pt>
                      <c:pt idx="19">
                        <c:v>411.19435185307179</c:v>
                      </c:pt>
                      <c:pt idx="20">
                        <c:v>386.13351422450734</c:v>
                      </c:pt>
                      <c:pt idx="21">
                        <c:v>247.8819510806058</c:v>
                      </c:pt>
                      <c:pt idx="22">
                        <c:v>231.51000417853015</c:v>
                      </c:pt>
                      <c:pt idx="23">
                        <c:v>268.02066743883017</c:v>
                      </c:pt>
                      <c:pt idx="24">
                        <c:v>319.05597837364905</c:v>
                      </c:pt>
                      <c:pt idx="25">
                        <c:v>406.70106208846397</c:v>
                      </c:pt>
                      <c:pt idx="26">
                        <c:v>409.7043808619257</c:v>
                      </c:pt>
                      <c:pt idx="27">
                        <c:v>226.53597176454846</c:v>
                      </c:pt>
                      <c:pt idx="28">
                        <c:v>402.79823269513992</c:v>
                      </c:pt>
                      <c:pt idx="29">
                        <c:v>264.37665769244217</c:v>
                      </c:pt>
                      <c:pt idx="30">
                        <c:v>385.18648408683117</c:v>
                      </c:pt>
                      <c:pt idx="31">
                        <c:v>346.91898585325868</c:v>
                      </c:pt>
                      <c:pt idx="32">
                        <c:v>1365.3490259504147</c:v>
                      </c:pt>
                      <c:pt idx="33">
                        <c:v>284.14168604159806</c:v>
                      </c:pt>
                      <c:pt idx="34">
                        <c:v>384.19213288507154</c:v>
                      </c:pt>
                      <c:pt idx="35">
                        <c:v>401.87925261907333</c:v>
                      </c:pt>
                      <c:pt idx="36">
                        <c:v>236.84385824673595</c:v>
                      </c:pt>
                      <c:pt idx="37">
                        <c:v>381.55689254338745</c:v>
                      </c:pt>
                      <c:pt idx="38">
                        <c:v>389.48996516680569</c:v>
                      </c:pt>
                      <c:pt idx="39">
                        <c:v>275.68735855156808</c:v>
                      </c:pt>
                      <c:pt idx="40">
                        <c:v>366.7633781033324</c:v>
                      </c:pt>
                      <c:pt idx="41">
                        <c:v>1039.507111940613</c:v>
                      </c:pt>
                      <c:pt idx="42">
                        <c:v>374.89580731984796</c:v>
                      </c:pt>
                      <c:pt idx="43">
                        <c:v>399.3525124299793</c:v>
                      </c:pt>
                      <c:pt idx="44">
                        <c:v>391.54343972989676</c:v>
                      </c:pt>
                      <c:pt idx="45">
                        <c:v>279.38215946467051</c:v>
                      </c:pt>
                      <c:pt idx="46">
                        <c:v>430.55219855054116</c:v>
                      </c:pt>
                      <c:pt idx="47">
                        <c:v>377.37046885271144</c:v>
                      </c:pt>
                      <c:pt idx="48">
                        <c:v>379.23259748048815</c:v>
                      </c:pt>
                    </c:numCache>
                  </c:numRef>
                </c:val>
                <c:extLst xmlns:c15="http://schemas.microsoft.com/office/drawing/2012/chart">
                  <c:ext xmlns:c16="http://schemas.microsoft.com/office/drawing/2014/chart" uri="{C3380CC4-5D6E-409C-BE32-E72D297353CC}">
                    <c16:uniqueId val="{00000002-9BEC-4964-8668-8DD02F8A5A09}"/>
                  </c:ext>
                </c:extLst>
              </c15:ser>
            </c15:filteredBarSeries>
            <c15:filteredBarSeries>
              <c15:ser>
                <c:idx val="2"/>
                <c:order val="2"/>
                <c:tx>
                  <c:v>2019</c:v>
                </c:tx>
                <c:spPr>
                  <a:solidFill>
                    <a:schemeClr val="accent3"/>
                  </a:solidFill>
                  <a:ln>
                    <a:noFill/>
                  </a:ln>
                  <a:effectLst/>
                </c:spPr>
                <c:invertIfNegative val="0"/>
                <c:cat>
                  <c:numLit>
                    <c:formatCode>General</c:formatCode>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numLit>
                </c:cat>
                <c:val>
                  <c:numRef>
                    <c:extLst xmlns:c15="http://schemas.microsoft.com/office/drawing/2012/chart">
                      <c:ext xmlns:c15="http://schemas.microsoft.com/office/drawing/2012/chart" uri="{02D57815-91ED-43cb-92C2-25804820EDAC}">
                        <c15:formulaRef>
                          <c15:sqref>'Analisi dati, formula corretta'!$BB$4:$BB$52</c15:sqref>
                        </c15:formulaRef>
                      </c:ext>
                    </c:extLst>
                    <c:numCache>
                      <c:formatCode>#,##0.00</c:formatCode>
                      <c:ptCount val="49"/>
                      <c:pt idx="0">
                        <c:v>412.3</c:v>
                      </c:pt>
                      <c:pt idx="1">
                        <c:v>401.07605938585249</c:v>
                      </c:pt>
                      <c:pt idx="2">
                        <c:v>1028.8193651518611</c:v>
                      </c:pt>
                      <c:pt idx="3">
                        <c:v>379.55289765721329</c:v>
                      </c:pt>
                      <c:pt idx="4">
                        <c:v>386</c:v>
                      </c:pt>
                      <c:pt idx="5">
                        <c:v>386.94617563739376</c:v>
                      </c:pt>
                      <c:pt idx="6">
                        <c:v>882.47396630934145</c:v>
                      </c:pt>
                      <c:pt idx="7">
                        <c:v>394.73783455947142</c:v>
                      </c:pt>
                      <c:pt idx="8">
                        <c:v>1020.5023279875841</c:v>
                      </c:pt>
                      <c:pt idx="9">
                        <c:v>380.74424039983046</c:v>
                      </c:pt>
                      <c:pt idx="10">
                        <c:v>383.23726878930313</c:v>
                      </c:pt>
                      <c:pt idx="11">
                        <c:v>709.09307591467052</c:v>
                      </c:pt>
                      <c:pt idx="12">
                        <c:v>381.04020656584288</c:v>
                      </c:pt>
                      <c:pt idx="13">
                        <c:v>987.08187448670208</c:v>
                      </c:pt>
                      <c:pt idx="14">
                        <c:v>996.0972680876614</c:v>
                      </c:pt>
                      <c:pt idx="15">
                        <c:v>393.62834457951203</c:v>
                      </c:pt>
                      <c:pt idx="16">
                        <c:v>389.24523644308124</c:v>
                      </c:pt>
                      <c:pt idx="17">
                        <c:v>368.22433797550036</c:v>
                      </c:pt>
                      <c:pt idx="18">
                        <c:v>297.54750469826683</c:v>
                      </c:pt>
                      <c:pt idx="19">
                        <c:v>398.19853122774254</c:v>
                      </c:pt>
                      <c:pt idx="20">
                        <c:v>380.47284319130461</c:v>
                      </c:pt>
                      <c:pt idx="21">
                        <c:v>249.63268453557146</c:v>
                      </c:pt>
                      <c:pt idx="22">
                        <c:v>226.05266724053357</c:v>
                      </c:pt>
                      <c:pt idx="23">
                        <c:v>264.68753154045896</c:v>
                      </c:pt>
                      <c:pt idx="24">
                        <c:v>322.58963699208357</c:v>
                      </c:pt>
                      <c:pt idx="25">
                        <c:v>404.49073150664435</c:v>
                      </c:pt>
                      <c:pt idx="26">
                        <c:v>400.18382994743166</c:v>
                      </c:pt>
                      <c:pt idx="27">
                        <c:v>232.04161869800376</c:v>
                      </c:pt>
                      <c:pt idx="28">
                        <c:v>406.81818181818181</c:v>
                      </c:pt>
                      <c:pt idx="29">
                        <c:v>258.33805613673258</c:v>
                      </c:pt>
                      <c:pt idx="30">
                        <c:v>387.74340771304918</c:v>
                      </c:pt>
                      <c:pt idx="31">
                        <c:v>321.13423141688719</c:v>
                      </c:pt>
                      <c:pt idx="32">
                        <c:v>1315.3005104421818</c:v>
                      </c:pt>
                      <c:pt idx="33">
                        <c:v>281.32675916457544</c:v>
                      </c:pt>
                      <c:pt idx="34">
                        <c:v>384.49821561750724</c:v>
                      </c:pt>
                      <c:pt idx="35">
                        <c:v>398.94266051179977</c:v>
                      </c:pt>
                      <c:pt idx="36">
                        <c:v>178.69415807560139</c:v>
                      </c:pt>
                      <c:pt idx="37">
                        <c:v>0</c:v>
                      </c:pt>
                      <c:pt idx="38">
                        <c:v>393.45100995441476</c:v>
                      </c:pt>
                      <c:pt idx="39">
                        <c:v>284.46931163106137</c:v>
                      </c:pt>
                      <c:pt idx="40">
                        <c:v>366.21602235710282</c:v>
                      </c:pt>
                      <c:pt idx="41">
                        <c:v>1132.3979192318661</c:v>
                      </c:pt>
                      <c:pt idx="42">
                        <c:v>375.04012195179683</c:v>
                      </c:pt>
                      <c:pt idx="43">
                        <c:v>395.57312030931502</c:v>
                      </c:pt>
                      <c:pt idx="44">
                        <c:v>394.14656750474091</c:v>
                      </c:pt>
                      <c:pt idx="45">
                        <c:v>275.96848677570051</c:v>
                      </c:pt>
                      <c:pt idx="46">
                        <c:v>418.63708571875645</c:v>
                      </c:pt>
                      <c:pt idx="47">
                        <c:v>373.10171461386358</c:v>
                      </c:pt>
                      <c:pt idx="48">
                        <c:v>370.52096486727464</c:v>
                      </c:pt>
                    </c:numCache>
                  </c:numRef>
                </c:val>
                <c:extLst xmlns:c15="http://schemas.microsoft.com/office/drawing/2012/chart">
                  <c:ext xmlns:c16="http://schemas.microsoft.com/office/drawing/2014/chart" uri="{C3380CC4-5D6E-409C-BE32-E72D297353CC}">
                    <c16:uniqueId val="{00000003-9BEC-4964-8668-8DD02F8A5A09}"/>
                  </c:ext>
                </c:extLst>
              </c15:ser>
            </c15:filteredBarSeries>
            <c15:filteredBarSeries>
              <c15:ser>
                <c:idx val="4"/>
                <c:order val="4"/>
                <c:spPr>
                  <a:solidFill>
                    <a:schemeClr val="accent5"/>
                  </a:solidFill>
                  <a:ln>
                    <a:noFill/>
                  </a:ln>
                  <a:effectLst/>
                </c:spPr>
                <c:invertIfNegative val="0"/>
                <c:cat>
                  <c:numLit>
                    <c:formatCode>General</c:formatCode>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numLit>
                </c:cat>
                <c:val>
                  <c:numRef>
                    <c:extLst xmlns:c15="http://schemas.microsoft.com/office/drawing/2012/chart">
                      <c:ext xmlns:c15="http://schemas.microsoft.com/office/drawing/2012/chart" uri="{02D57815-91ED-43cb-92C2-25804820EDAC}">
                        <c15:formulaRef>
                          <c15:sqref>'Analisi dati, formula corretta'!$BA$3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4-9BEC-4964-8668-8DD02F8A5A09}"/>
                  </c:ext>
                </c:extLst>
              </c15:ser>
            </c15:filteredBarSeries>
            <c15:filteredBarSeries>
              <c15:ser>
                <c:idx val="5"/>
                <c:order val="5"/>
                <c:spPr>
                  <a:solidFill>
                    <a:schemeClr val="accent6"/>
                  </a:solidFill>
                  <a:ln>
                    <a:noFill/>
                  </a:ln>
                  <a:effectLst/>
                </c:spPr>
                <c:invertIfNegative val="0"/>
                <c:cat>
                  <c:numLit>
                    <c:formatCode>General</c:formatCode>
                    <c:ptCount val="18"/>
                    <c:pt idx="0">
                      <c:v>2</c:v>
                    </c:pt>
                    <c:pt idx="1">
                      <c:v>5</c:v>
                    </c:pt>
                    <c:pt idx="2">
                      <c:v>19</c:v>
                    </c:pt>
                    <c:pt idx="3">
                      <c:v>22</c:v>
                    </c:pt>
                    <c:pt idx="4">
                      <c:v>23</c:v>
                    </c:pt>
                    <c:pt idx="5">
                      <c:v>24</c:v>
                    </c:pt>
                    <c:pt idx="6">
                      <c:v>25</c:v>
                    </c:pt>
                    <c:pt idx="7">
                      <c:v>28</c:v>
                    </c:pt>
                    <c:pt idx="8">
                      <c:v>30</c:v>
                    </c:pt>
                    <c:pt idx="9">
                      <c:v>32</c:v>
                    </c:pt>
                    <c:pt idx="10">
                      <c:v>34</c:v>
                    </c:pt>
                    <c:pt idx="11">
                      <c:v>37</c:v>
                    </c:pt>
                    <c:pt idx="12">
                      <c:v>40</c:v>
                    </c:pt>
                    <c:pt idx="13">
                      <c:v>41</c:v>
                    </c:pt>
                    <c:pt idx="14">
                      <c:v>44</c:v>
                    </c:pt>
                    <c:pt idx="15">
                      <c:v>46</c:v>
                    </c:pt>
                    <c:pt idx="16">
                      <c:v>47</c:v>
                    </c:pt>
                    <c:pt idx="17">
                      <c:v>49</c:v>
                    </c:pt>
                  </c:numLit>
                </c:cat>
                <c:val>
                  <c:numRef>
                    <c:extLst xmlns:c15="http://schemas.microsoft.com/office/drawing/2012/chart">
                      <c:ext xmlns:c15="http://schemas.microsoft.com/office/drawing/2012/chart" uri="{02D57815-91ED-43cb-92C2-25804820EDAC}">
                        <c15:formulaRef>
                          <c15:sqref>'Analisi dati, formula corretta'!$BB$3</c15:sqref>
                        </c15:formulaRef>
                      </c:ext>
                    </c:extLst>
                    <c:numCache>
                      <c:formatCode>@</c:formatCode>
                      <c:ptCount val="1"/>
                      <c:pt idx="0">
                        <c:v>0</c:v>
                      </c:pt>
                    </c:numCache>
                  </c:numRef>
                </c:val>
                <c:extLst xmlns:c15="http://schemas.microsoft.com/office/drawing/2012/chart">
                  <c:ext xmlns:c16="http://schemas.microsoft.com/office/drawing/2014/chart" uri="{C3380CC4-5D6E-409C-BE32-E72D297353CC}">
                    <c16:uniqueId val="{00000005-9BEC-4964-8668-8DD02F8A5A09}"/>
                  </c:ext>
                </c:extLst>
              </c15:ser>
            </c15:filteredBarSeries>
          </c:ext>
        </c:extLst>
      </c:barChart>
      <c:catAx>
        <c:axId val="55998191"/>
        <c:scaling>
          <c:orientation val="minMax"/>
        </c:scaling>
        <c:delete val="0"/>
        <c:axPos val="b"/>
        <c:numFmt formatCode="General" sourceLinked="0"/>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6943"/>
        <c:crosses val="autoZero"/>
        <c:auto val="1"/>
        <c:lblAlgn val="ctr"/>
        <c:lblOffset val="100"/>
        <c:noMultiLvlLbl val="0"/>
      </c:catAx>
      <c:valAx>
        <c:axId val="5599694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in"/>
        <c:minorTickMark val="in"/>
        <c:tickLblPos val="nextTo"/>
        <c:spPr>
          <a:noFill/>
          <a:ln>
            <a:solidFill>
              <a:schemeClr val="accent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5599819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 generali delle emissioni specifiche delle centrali a carbone (CO</a:t>
            </a:r>
            <a:r>
              <a:rPr lang="it-IT" baseline="-25000"/>
              <a:t>2</a:t>
            </a:r>
            <a:r>
              <a:rPr lang="it-IT"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pieChart>
        <c:varyColors val="1"/>
        <c:ser>
          <c:idx val="0"/>
          <c:order val="0"/>
          <c:spPr>
            <a:solidFill>
              <a:srgbClr val="FFFF00"/>
            </a:solidFill>
          </c:spPr>
          <c:dPt>
            <c:idx val="0"/>
            <c:bubble3D val="0"/>
            <c:spPr>
              <a:solidFill>
                <a:srgbClr val="FF0000"/>
              </a:solidFill>
              <a:ln>
                <a:noFill/>
              </a:ln>
              <a:effectLst/>
            </c:spPr>
            <c:extLst>
              <c:ext xmlns:c16="http://schemas.microsoft.com/office/drawing/2014/chart" uri="{C3380CC4-5D6E-409C-BE32-E72D297353CC}">
                <c16:uniqueId val="{00000001-6E48-475F-BE16-99C1248821E4}"/>
              </c:ext>
            </c:extLst>
          </c:dPt>
          <c:dPt>
            <c:idx val="1"/>
            <c:bubble3D val="0"/>
            <c:spPr>
              <a:solidFill>
                <a:srgbClr val="92D050"/>
              </a:solidFill>
              <a:ln>
                <a:noFill/>
              </a:ln>
              <a:effectLst/>
            </c:spPr>
            <c:extLst>
              <c:ext xmlns:c16="http://schemas.microsoft.com/office/drawing/2014/chart" uri="{C3380CC4-5D6E-409C-BE32-E72D297353CC}">
                <c16:uniqueId val="{00000003-6E48-475F-BE16-99C1248821E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'Analisi dati, formula corretta'!$BH$54:$BH$55</c:f>
              <c:strCache>
                <c:ptCount val="2"/>
                <c:pt idx="0">
                  <c:v>Incremento emissioni specifiche</c:v>
                </c:pt>
                <c:pt idx="1">
                  <c:v>Diminuzione emissioni specifiche</c:v>
                </c:pt>
              </c:strCache>
            </c:strRef>
          </c:cat>
          <c:val>
            <c:numRef>
              <c:f>'Analisi dati, formula corretta'!$R$133:$R$134</c:f>
              <c:numCache>
                <c:formatCode>General</c:formatCode>
                <c:ptCount val="2"/>
                <c:pt idx="0">
                  <c:v>5</c:v>
                </c:pt>
                <c:pt idx="1">
                  <c:v>2</c:v>
                </c:pt>
              </c:numCache>
            </c:numRef>
          </c:val>
          <c:extLst>
            <c:ext xmlns:c16="http://schemas.microsoft.com/office/drawing/2014/chart" uri="{C3380CC4-5D6E-409C-BE32-E72D297353CC}">
              <c16:uniqueId val="{00000006-6E48-475F-BE16-99C1248821E4}"/>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it-IT"/>
              <a:t>Andamenti generali delle emissioni specifiche delle centrali a ciclo</a:t>
            </a:r>
            <a:r>
              <a:rPr lang="it-IT" baseline="0"/>
              <a:t> combinato</a:t>
            </a:r>
            <a:r>
              <a:rPr lang="it-IT"/>
              <a:t> (CO</a:t>
            </a:r>
            <a:r>
              <a:rPr lang="it-IT" baseline="-25000"/>
              <a:t>2</a:t>
            </a:r>
            <a:r>
              <a:rPr lang="it-IT" baseline="0"/>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pieChart>
        <c:varyColors val="1"/>
        <c:ser>
          <c:idx val="0"/>
          <c:order val="0"/>
          <c:dPt>
            <c:idx val="0"/>
            <c:bubble3D val="0"/>
            <c:spPr>
              <a:solidFill>
                <a:srgbClr val="FF0000"/>
              </a:solidFill>
              <a:ln>
                <a:noFill/>
              </a:ln>
              <a:effectLst/>
            </c:spPr>
            <c:extLst>
              <c:ext xmlns:c16="http://schemas.microsoft.com/office/drawing/2014/chart" uri="{C3380CC4-5D6E-409C-BE32-E72D297353CC}">
                <c16:uniqueId val="{00000001-D118-4723-AAD0-CFC790C33B80}"/>
              </c:ext>
            </c:extLst>
          </c:dPt>
          <c:dPt>
            <c:idx val="1"/>
            <c:bubble3D val="0"/>
            <c:spPr>
              <a:solidFill>
                <a:srgbClr val="92D050"/>
              </a:solidFill>
              <a:ln>
                <a:noFill/>
              </a:ln>
              <a:effectLst/>
            </c:spPr>
            <c:extLst>
              <c:ext xmlns:c16="http://schemas.microsoft.com/office/drawing/2014/chart" uri="{C3380CC4-5D6E-409C-BE32-E72D297353CC}">
                <c16:uniqueId val="{00000003-D118-4723-AAD0-CFC790C33B8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it-IT"/>
              </a:p>
            </c:txPr>
            <c:dLblPos val="outEnd"/>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'Analisi dati, formula corretta'!$T$164:$U$178</c:f>
              <c:strCache>
                <c:ptCount val="6"/>
                <c:pt idx="0">
                  <c:v>Incremento emissioni specifiche</c:v>
                </c:pt>
                <c:pt idx="1">
                  <c:v>Diminuzione emissioni specifiche</c:v>
                </c:pt>
                <c:pt idx="3">
                  <c:v>0,0013</c:v>
                </c:pt>
                <c:pt idx="4">
                  <c:v>0,1224%</c:v>
                </c:pt>
                <c:pt idx="5">
                  <c:v>0,0365</c:v>
                </c:pt>
              </c:strCache>
            </c:strRef>
          </c:cat>
          <c:val>
            <c:numRef>
              <c:f>'Analisi dati, formula corretta'!$R$164:$R$165</c:f>
              <c:numCache>
                <c:formatCode>General</c:formatCode>
                <c:ptCount val="2"/>
                <c:pt idx="0">
                  <c:v>11</c:v>
                </c:pt>
                <c:pt idx="1">
                  <c:v>13</c:v>
                </c:pt>
              </c:numCache>
            </c:numRef>
          </c:val>
          <c:extLst>
            <c:ext xmlns:c16="http://schemas.microsoft.com/office/drawing/2014/chart" uri="{C3380CC4-5D6E-409C-BE32-E72D297353CC}">
              <c16:uniqueId val="{00000006-D118-4723-AAD0-CFC790C33B80}"/>
            </c:ext>
          </c:extLst>
        </c:ser>
        <c:dLbls>
          <c:showLegendKey val="0"/>
          <c:showVal val="0"/>
          <c:showCatName val="0"/>
          <c:showSerName val="0"/>
          <c:showPercent val="0"/>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legend>
    <c:plotVisOnly val="1"/>
    <c:dispBlanksAs val="gap"/>
    <c:showDLblsOverMax val="0"/>
  </c:chart>
  <c:spPr>
    <a:solidFill>
      <a:schemeClr val="bg1"/>
    </a:solidFill>
    <a:ln w="9525" cap="flat" cmpd="sng" algn="ctr">
      <a:solidFill>
        <a:schemeClr val="accent1"/>
      </a:solid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withinLinear" id="19">
  <a:schemeClr val="accent6"/>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withinLinear" id="19">
  <a:schemeClr val="accent6"/>
</cs:colorStyle>
</file>

<file path=xl/charts/colors58.xml><?xml version="1.0" encoding="utf-8"?>
<cs:colorStyle xmlns:cs="http://schemas.microsoft.com/office/drawing/2012/chartStyle" xmlns:a="http://schemas.openxmlformats.org/drawingml/2006/main" meth="withinLinearReversed" id="21">
  <a:schemeClr val="accent1"/>
</cs:colorStyle>
</file>

<file path=xl/charts/colors59.xml><?xml version="1.0" encoding="utf-8"?>
<cs:colorStyle xmlns:cs="http://schemas.microsoft.com/office/drawing/2012/chartStyle" xmlns:a="http://schemas.openxmlformats.org/drawingml/2006/main" meth="withinLinear" id="19">
  <a:schemeClr val="accent6"/>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withinLinearReversed" id="21">
  <a:schemeClr val="accent1"/>
</cs:colorStyle>
</file>

<file path=xl/charts/colors61.xml><?xml version="1.0" encoding="utf-8"?>
<cs:colorStyle xmlns:cs="http://schemas.microsoft.com/office/drawing/2012/chartStyle" xmlns:a="http://schemas.openxmlformats.org/drawingml/2006/main" meth="withinLinear" id="19">
  <a:schemeClr val="accent6"/>
</cs:colorStyle>
</file>

<file path=xl/charts/colors62.xml><?xml version="1.0" encoding="utf-8"?>
<cs:colorStyle xmlns:cs="http://schemas.microsoft.com/office/drawing/2012/chartStyle" xmlns:a="http://schemas.openxmlformats.org/drawingml/2006/main" meth="withinLinearReversed" id="21">
  <a:schemeClr val="accent1"/>
</cs:colorStyle>
</file>

<file path=xl/charts/colors63.xml><?xml version="1.0" encoding="utf-8"?>
<cs:colorStyle xmlns:cs="http://schemas.microsoft.com/office/drawing/2012/chartStyle" xmlns:a="http://schemas.openxmlformats.org/drawingml/2006/main" meth="withinLinear" id="19">
  <a:schemeClr val="accent6"/>
</cs:colorStyle>
</file>

<file path=xl/charts/colors64.xml><?xml version="1.0" encoding="utf-8"?>
<cs:colorStyle xmlns:cs="http://schemas.microsoft.com/office/drawing/2012/chartStyle" xmlns:a="http://schemas.openxmlformats.org/drawingml/2006/main" meth="withinLinearReversed" id="21">
  <a:schemeClr val="accent1"/>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8.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55" Type="http://schemas.openxmlformats.org/officeDocument/2006/relationships/chart" Target="../charts/chart55.xml"/><Relationship Id="rId63" Type="http://schemas.openxmlformats.org/officeDocument/2006/relationships/chart" Target="../charts/chart63.xml"/><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8" Type="http://schemas.openxmlformats.org/officeDocument/2006/relationships/chart" Target="../charts/chart58.xml"/><Relationship Id="rId5" Type="http://schemas.openxmlformats.org/officeDocument/2006/relationships/chart" Target="../charts/chart5.xml"/><Relationship Id="rId61" Type="http://schemas.openxmlformats.org/officeDocument/2006/relationships/chart" Target="../charts/chart61.xml"/><Relationship Id="rId19" Type="http://schemas.openxmlformats.org/officeDocument/2006/relationships/chart" Target="../charts/chart1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56" Type="http://schemas.openxmlformats.org/officeDocument/2006/relationships/chart" Target="../charts/chart56.xml"/><Relationship Id="rId64" Type="http://schemas.openxmlformats.org/officeDocument/2006/relationships/chart" Target="../charts/chart64.xml"/><Relationship Id="rId8" Type="http://schemas.openxmlformats.org/officeDocument/2006/relationships/chart" Target="../charts/chart8.xml"/><Relationship Id="rId51" Type="http://schemas.openxmlformats.org/officeDocument/2006/relationships/chart" Target="../charts/chart51.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59" Type="http://schemas.openxmlformats.org/officeDocument/2006/relationships/chart" Target="../charts/chart59.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62" Type="http://schemas.openxmlformats.org/officeDocument/2006/relationships/chart" Target="../charts/chart62.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 Id="rId57" Type="http://schemas.openxmlformats.org/officeDocument/2006/relationships/chart" Target="../charts/chart57.xml"/><Relationship Id="rId10" Type="http://schemas.openxmlformats.org/officeDocument/2006/relationships/chart" Target="../charts/chart10.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60" Type="http://schemas.openxmlformats.org/officeDocument/2006/relationships/chart" Target="../charts/chart60.xml"/><Relationship Id="rId4" Type="http://schemas.openxmlformats.org/officeDocument/2006/relationships/chart" Target="../charts/chart4.xml"/><Relationship Id="rId9" Type="http://schemas.openxmlformats.org/officeDocument/2006/relationships/chart" Target="../charts/chart9.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7.xml"/><Relationship Id="rId2" Type="http://schemas.openxmlformats.org/officeDocument/2006/relationships/chart" Target="../charts/chart66.xml"/><Relationship Id="rId1" Type="http://schemas.openxmlformats.org/officeDocument/2006/relationships/chart" Target="../charts/chart65.xml"/><Relationship Id="rId4" Type="http://schemas.openxmlformats.org/officeDocument/2006/relationships/chart" Target="../charts/chart68.xml"/></Relationships>
</file>

<file path=xl/drawings/drawing1.xml><?xml version="1.0" encoding="utf-8"?>
<xdr:wsDr xmlns:xdr="http://schemas.openxmlformats.org/drawingml/2006/spreadsheetDrawing" xmlns:a="http://schemas.openxmlformats.org/drawingml/2006/main">
  <xdr:twoCellAnchor>
    <xdr:from>
      <xdr:col>0</xdr:col>
      <xdr:colOff>429986</xdr:colOff>
      <xdr:row>75</xdr:row>
      <xdr:rowOff>63500</xdr:rowOff>
    </xdr:from>
    <xdr:to>
      <xdr:col>20</xdr:col>
      <xdr:colOff>1847849</xdr:colOff>
      <xdr:row>125</xdr:row>
      <xdr:rowOff>152400</xdr:rowOff>
    </xdr:to>
    <xdr:graphicFrame macro="">
      <xdr:nvGraphicFramePr>
        <xdr:cNvPr id="2" name="Grafico 1">
          <a:extLst>
            <a:ext uri="{FF2B5EF4-FFF2-40B4-BE49-F238E27FC236}">
              <a16:creationId xmlns:a16="http://schemas.microsoft.com/office/drawing/2014/main" id="{23202B9F-5060-422D-8227-A2461EB736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838200</xdr:colOff>
      <xdr:row>76</xdr:row>
      <xdr:rowOff>0</xdr:rowOff>
    </xdr:from>
    <xdr:to>
      <xdr:col>31</xdr:col>
      <xdr:colOff>685800</xdr:colOff>
      <xdr:row>109</xdr:row>
      <xdr:rowOff>76200</xdr:rowOff>
    </xdr:to>
    <xdr:graphicFrame macro="">
      <xdr:nvGraphicFramePr>
        <xdr:cNvPr id="3" name="Grafico 2">
          <a:extLst>
            <a:ext uri="{FF2B5EF4-FFF2-40B4-BE49-F238E27FC236}">
              <a16:creationId xmlns:a16="http://schemas.microsoft.com/office/drawing/2014/main" id="{B0FB81D7-B3D7-4A4A-B5FF-CAE1F155D8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558800</xdr:colOff>
      <xdr:row>127</xdr:row>
      <xdr:rowOff>146051</xdr:rowOff>
    </xdr:from>
    <xdr:to>
      <xdr:col>9</xdr:col>
      <xdr:colOff>-1</xdr:colOff>
      <xdr:row>161</xdr:row>
      <xdr:rowOff>342900</xdr:rowOff>
    </xdr:to>
    <xdr:graphicFrame macro="">
      <xdr:nvGraphicFramePr>
        <xdr:cNvPr id="4" name="Grafico 3">
          <a:extLst>
            <a:ext uri="{FF2B5EF4-FFF2-40B4-BE49-F238E27FC236}">
              <a16:creationId xmlns:a16="http://schemas.microsoft.com/office/drawing/2014/main" id="{8C041C3B-BEB3-4E9A-BF59-17B14BBCF3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529590</xdr:colOff>
      <xdr:row>127</xdr:row>
      <xdr:rowOff>148591</xdr:rowOff>
    </xdr:from>
    <xdr:to>
      <xdr:col>16</xdr:col>
      <xdr:colOff>279400</xdr:colOff>
      <xdr:row>162</xdr:row>
      <xdr:rowOff>25401</xdr:rowOff>
    </xdr:to>
    <xdr:graphicFrame macro="">
      <xdr:nvGraphicFramePr>
        <xdr:cNvPr id="5" name="Grafico 4">
          <a:extLst>
            <a:ext uri="{FF2B5EF4-FFF2-40B4-BE49-F238E27FC236}">
              <a16:creationId xmlns:a16="http://schemas.microsoft.com/office/drawing/2014/main" id="{1DD7BDDA-3E63-4D81-A136-E84776AF00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533401</xdr:colOff>
      <xdr:row>163</xdr:row>
      <xdr:rowOff>127001</xdr:rowOff>
    </xdr:from>
    <xdr:to>
      <xdr:col>9</xdr:col>
      <xdr:colOff>0</xdr:colOff>
      <xdr:row>198</xdr:row>
      <xdr:rowOff>114300</xdr:rowOff>
    </xdr:to>
    <xdr:graphicFrame macro="">
      <xdr:nvGraphicFramePr>
        <xdr:cNvPr id="6" name="Grafico 5">
          <a:extLst>
            <a:ext uri="{FF2B5EF4-FFF2-40B4-BE49-F238E27FC236}">
              <a16:creationId xmlns:a16="http://schemas.microsoft.com/office/drawing/2014/main" id="{FF1D45E1-5F02-4DBE-949F-62176F2B77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9</xdr:col>
      <xdr:colOff>533400</xdr:colOff>
      <xdr:row>163</xdr:row>
      <xdr:rowOff>38100</xdr:rowOff>
    </xdr:from>
    <xdr:to>
      <xdr:col>16</xdr:col>
      <xdr:colOff>323850</xdr:colOff>
      <xdr:row>199</xdr:row>
      <xdr:rowOff>76200</xdr:rowOff>
    </xdr:to>
    <xdr:graphicFrame macro="">
      <xdr:nvGraphicFramePr>
        <xdr:cNvPr id="7" name="Grafico 6">
          <a:extLst>
            <a:ext uri="{FF2B5EF4-FFF2-40B4-BE49-F238E27FC236}">
              <a16:creationId xmlns:a16="http://schemas.microsoft.com/office/drawing/2014/main" id="{CFD91B47-0328-4C79-B019-1D47870B9D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9</xdr:col>
      <xdr:colOff>560070</xdr:colOff>
      <xdr:row>200</xdr:row>
      <xdr:rowOff>110490</xdr:rowOff>
    </xdr:from>
    <xdr:to>
      <xdr:col>16</xdr:col>
      <xdr:colOff>304800</xdr:colOff>
      <xdr:row>239</xdr:row>
      <xdr:rowOff>95250</xdr:rowOff>
    </xdr:to>
    <xdr:graphicFrame macro="">
      <xdr:nvGraphicFramePr>
        <xdr:cNvPr id="9" name="Grafico 8">
          <a:extLst>
            <a:ext uri="{FF2B5EF4-FFF2-40B4-BE49-F238E27FC236}">
              <a16:creationId xmlns:a16="http://schemas.microsoft.com/office/drawing/2014/main" id="{6CE74A49-1983-4B91-BAD1-06797A7CC7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21</xdr:col>
      <xdr:colOff>889000</xdr:colOff>
      <xdr:row>111</xdr:row>
      <xdr:rowOff>127000</xdr:rowOff>
    </xdr:from>
    <xdr:to>
      <xdr:col>31</xdr:col>
      <xdr:colOff>660400</xdr:colOff>
      <xdr:row>148</xdr:row>
      <xdr:rowOff>50800</xdr:rowOff>
    </xdr:to>
    <xdr:graphicFrame macro="">
      <xdr:nvGraphicFramePr>
        <xdr:cNvPr id="10" name="Grafico 9">
          <a:extLst>
            <a:ext uri="{FF2B5EF4-FFF2-40B4-BE49-F238E27FC236}">
              <a16:creationId xmlns:a16="http://schemas.microsoft.com/office/drawing/2014/main" id="{A8C3A3E7-71EC-4352-BC6D-0345F75D2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1028700</xdr:colOff>
      <xdr:row>149</xdr:row>
      <xdr:rowOff>110490</xdr:rowOff>
    </xdr:from>
    <xdr:to>
      <xdr:col>31</xdr:col>
      <xdr:colOff>609600</xdr:colOff>
      <xdr:row>183</xdr:row>
      <xdr:rowOff>171450</xdr:rowOff>
    </xdr:to>
    <xdr:graphicFrame macro="">
      <xdr:nvGraphicFramePr>
        <xdr:cNvPr id="11" name="Grafico 10">
          <a:extLst>
            <a:ext uri="{FF2B5EF4-FFF2-40B4-BE49-F238E27FC236}">
              <a16:creationId xmlns:a16="http://schemas.microsoft.com/office/drawing/2014/main" id="{B719CEA9-64C3-4A50-9E94-2B687C13E9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21</xdr:col>
      <xdr:colOff>1051560</xdr:colOff>
      <xdr:row>184</xdr:row>
      <xdr:rowOff>167640</xdr:rowOff>
    </xdr:from>
    <xdr:to>
      <xdr:col>31</xdr:col>
      <xdr:colOff>624840</xdr:colOff>
      <xdr:row>221</xdr:row>
      <xdr:rowOff>45720</xdr:rowOff>
    </xdr:to>
    <xdr:graphicFrame macro="">
      <xdr:nvGraphicFramePr>
        <xdr:cNvPr id="12" name="Grafico 11">
          <a:extLst>
            <a:ext uri="{FF2B5EF4-FFF2-40B4-BE49-F238E27FC236}">
              <a16:creationId xmlns:a16="http://schemas.microsoft.com/office/drawing/2014/main" id="{93F4A6D6-6B76-4310-BC09-B7B24306F2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40</xdr:col>
      <xdr:colOff>800100</xdr:colOff>
      <xdr:row>72</xdr:row>
      <xdr:rowOff>182880</xdr:rowOff>
    </xdr:from>
    <xdr:to>
      <xdr:col>71</xdr:col>
      <xdr:colOff>38100</xdr:colOff>
      <xdr:row>130</xdr:row>
      <xdr:rowOff>0</xdr:rowOff>
    </xdr:to>
    <xdr:graphicFrame macro="">
      <xdr:nvGraphicFramePr>
        <xdr:cNvPr id="13" name="Grafico 12">
          <a:extLst>
            <a:ext uri="{FF2B5EF4-FFF2-40B4-BE49-F238E27FC236}">
              <a16:creationId xmlns:a16="http://schemas.microsoft.com/office/drawing/2014/main" id="{67FAED5F-6EED-453B-9057-3DE3225095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92</xdr:col>
      <xdr:colOff>1557020</xdr:colOff>
      <xdr:row>72</xdr:row>
      <xdr:rowOff>134620</xdr:rowOff>
    </xdr:from>
    <xdr:to>
      <xdr:col>112</xdr:col>
      <xdr:colOff>1684021</xdr:colOff>
      <xdr:row>126</xdr:row>
      <xdr:rowOff>17780</xdr:rowOff>
    </xdr:to>
    <xdr:graphicFrame macro="">
      <xdr:nvGraphicFramePr>
        <xdr:cNvPr id="14" name="Grafico 13">
          <a:extLst>
            <a:ext uri="{FF2B5EF4-FFF2-40B4-BE49-F238E27FC236}">
              <a16:creationId xmlns:a16="http://schemas.microsoft.com/office/drawing/2014/main" id="{EBB882F7-6481-4B1D-AC70-0E9E29ACB5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123</xdr:col>
      <xdr:colOff>1700048</xdr:colOff>
      <xdr:row>73</xdr:row>
      <xdr:rowOff>83558</xdr:rowOff>
    </xdr:from>
    <xdr:to>
      <xdr:col>173</xdr:col>
      <xdr:colOff>853440</xdr:colOff>
      <xdr:row>127</xdr:row>
      <xdr:rowOff>152400</xdr:rowOff>
    </xdr:to>
    <xdr:graphicFrame macro="">
      <xdr:nvGraphicFramePr>
        <xdr:cNvPr id="15" name="Grafico 14">
          <a:extLst>
            <a:ext uri="{FF2B5EF4-FFF2-40B4-BE49-F238E27FC236}">
              <a16:creationId xmlns:a16="http://schemas.microsoft.com/office/drawing/2014/main" id="{330AA844-07A3-4B8B-A687-E5462434CC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71</xdr:col>
      <xdr:colOff>406400</xdr:colOff>
      <xdr:row>73</xdr:row>
      <xdr:rowOff>76200</xdr:rowOff>
    </xdr:from>
    <xdr:to>
      <xdr:col>84</xdr:col>
      <xdr:colOff>1562100</xdr:colOff>
      <xdr:row>129</xdr:row>
      <xdr:rowOff>127000</xdr:rowOff>
    </xdr:to>
    <xdr:graphicFrame macro="">
      <xdr:nvGraphicFramePr>
        <xdr:cNvPr id="16" name="Grafico 15">
          <a:extLst>
            <a:ext uri="{FF2B5EF4-FFF2-40B4-BE49-F238E27FC236}">
              <a16:creationId xmlns:a16="http://schemas.microsoft.com/office/drawing/2014/main" id="{F459D71E-25F8-4B87-8D3E-8BA9012FF2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113</xdr:col>
      <xdr:colOff>387350</xdr:colOff>
      <xdr:row>74</xdr:row>
      <xdr:rowOff>50800</xdr:rowOff>
    </xdr:from>
    <xdr:to>
      <xdr:col>121</xdr:col>
      <xdr:colOff>1943100</xdr:colOff>
      <xdr:row>121</xdr:row>
      <xdr:rowOff>114300</xdr:rowOff>
    </xdr:to>
    <xdr:graphicFrame macro="">
      <xdr:nvGraphicFramePr>
        <xdr:cNvPr id="17" name="Grafico 16">
          <a:extLst>
            <a:ext uri="{FF2B5EF4-FFF2-40B4-BE49-F238E27FC236}">
              <a16:creationId xmlns:a16="http://schemas.microsoft.com/office/drawing/2014/main" id="{32B46C23-4147-4491-98E3-2A546B9352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40</xdr:col>
      <xdr:colOff>787400</xdr:colOff>
      <xdr:row>131</xdr:row>
      <xdr:rowOff>15240</xdr:rowOff>
    </xdr:from>
    <xdr:to>
      <xdr:col>59</xdr:col>
      <xdr:colOff>1383030</xdr:colOff>
      <xdr:row>165</xdr:row>
      <xdr:rowOff>50800</xdr:rowOff>
    </xdr:to>
    <xdr:graphicFrame macro="">
      <xdr:nvGraphicFramePr>
        <xdr:cNvPr id="18" name="Grafico 17">
          <a:extLst>
            <a:ext uri="{FF2B5EF4-FFF2-40B4-BE49-F238E27FC236}">
              <a16:creationId xmlns:a16="http://schemas.microsoft.com/office/drawing/2014/main" id="{6D67E32A-428E-401A-9291-BA8E9BE655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59</xdr:col>
      <xdr:colOff>2038350</xdr:colOff>
      <xdr:row>130</xdr:row>
      <xdr:rowOff>184150</xdr:rowOff>
    </xdr:from>
    <xdr:to>
      <xdr:col>66</xdr:col>
      <xdr:colOff>419100</xdr:colOff>
      <xdr:row>165</xdr:row>
      <xdr:rowOff>171450</xdr:rowOff>
    </xdr:to>
    <xdr:graphicFrame macro="">
      <xdr:nvGraphicFramePr>
        <xdr:cNvPr id="19" name="Grafico 18">
          <a:extLst>
            <a:ext uri="{FF2B5EF4-FFF2-40B4-BE49-F238E27FC236}">
              <a16:creationId xmlns:a16="http://schemas.microsoft.com/office/drawing/2014/main" id="{D39BD07F-3080-46FE-8583-07E2E9EAE0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71</xdr:col>
      <xdr:colOff>457200</xdr:colOff>
      <xdr:row>130</xdr:row>
      <xdr:rowOff>177800</xdr:rowOff>
    </xdr:from>
    <xdr:to>
      <xdr:col>84</xdr:col>
      <xdr:colOff>1549400</xdr:colOff>
      <xdr:row>169</xdr:row>
      <xdr:rowOff>139700</xdr:rowOff>
    </xdr:to>
    <xdr:graphicFrame macro="">
      <xdr:nvGraphicFramePr>
        <xdr:cNvPr id="20" name="Grafico 19">
          <a:extLst>
            <a:ext uri="{FF2B5EF4-FFF2-40B4-BE49-F238E27FC236}">
              <a16:creationId xmlns:a16="http://schemas.microsoft.com/office/drawing/2014/main" id="{D9638FB5-5EAD-4377-A290-A36F19F15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40</xdr:col>
      <xdr:colOff>787400</xdr:colOff>
      <xdr:row>167</xdr:row>
      <xdr:rowOff>38100</xdr:rowOff>
    </xdr:from>
    <xdr:to>
      <xdr:col>59</xdr:col>
      <xdr:colOff>1375410</xdr:colOff>
      <xdr:row>199</xdr:row>
      <xdr:rowOff>76200</xdr:rowOff>
    </xdr:to>
    <xdr:graphicFrame macro="">
      <xdr:nvGraphicFramePr>
        <xdr:cNvPr id="21" name="Grafico 20">
          <a:extLst>
            <a:ext uri="{FF2B5EF4-FFF2-40B4-BE49-F238E27FC236}">
              <a16:creationId xmlns:a16="http://schemas.microsoft.com/office/drawing/2014/main" id="{D7274984-7EF9-40B3-B21B-83E9A90977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59</xdr:col>
      <xdr:colOff>2097405</xdr:colOff>
      <xdr:row>167</xdr:row>
      <xdr:rowOff>59055</xdr:rowOff>
    </xdr:from>
    <xdr:to>
      <xdr:col>66</xdr:col>
      <xdr:colOff>478155</xdr:colOff>
      <xdr:row>201</xdr:row>
      <xdr:rowOff>122555</xdr:rowOff>
    </xdr:to>
    <xdr:graphicFrame macro="">
      <xdr:nvGraphicFramePr>
        <xdr:cNvPr id="22" name="Grafico 21">
          <a:extLst>
            <a:ext uri="{FF2B5EF4-FFF2-40B4-BE49-F238E27FC236}">
              <a16:creationId xmlns:a16="http://schemas.microsoft.com/office/drawing/2014/main" id="{EB7B4843-BDC3-4E09-80C3-E4DE0C95E0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40</xdr:col>
      <xdr:colOff>800100</xdr:colOff>
      <xdr:row>201</xdr:row>
      <xdr:rowOff>30480</xdr:rowOff>
    </xdr:from>
    <xdr:to>
      <xdr:col>59</xdr:col>
      <xdr:colOff>1350010</xdr:colOff>
      <xdr:row>238</xdr:row>
      <xdr:rowOff>0</xdr:rowOff>
    </xdr:to>
    <xdr:graphicFrame macro="">
      <xdr:nvGraphicFramePr>
        <xdr:cNvPr id="23" name="Grafico 22">
          <a:extLst>
            <a:ext uri="{FF2B5EF4-FFF2-40B4-BE49-F238E27FC236}">
              <a16:creationId xmlns:a16="http://schemas.microsoft.com/office/drawing/2014/main" id="{AA8AD226-EF0F-4528-A7D4-85E1476958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59</xdr:col>
      <xdr:colOff>2023110</xdr:colOff>
      <xdr:row>202</xdr:row>
      <xdr:rowOff>49530</xdr:rowOff>
    </xdr:from>
    <xdr:to>
      <xdr:col>66</xdr:col>
      <xdr:colOff>403860</xdr:colOff>
      <xdr:row>239</xdr:row>
      <xdr:rowOff>36830</xdr:rowOff>
    </xdr:to>
    <xdr:graphicFrame macro="">
      <xdr:nvGraphicFramePr>
        <xdr:cNvPr id="24" name="Grafico 23">
          <a:extLst>
            <a:ext uri="{FF2B5EF4-FFF2-40B4-BE49-F238E27FC236}">
              <a16:creationId xmlns:a16="http://schemas.microsoft.com/office/drawing/2014/main" id="{AA3B35E3-37B4-4269-8569-AE4AF43934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71</xdr:col>
      <xdr:colOff>546100</xdr:colOff>
      <xdr:row>170</xdr:row>
      <xdr:rowOff>139700</xdr:rowOff>
    </xdr:from>
    <xdr:to>
      <xdr:col>84</xdr:col>
      <xdr:colOff>1663700</xdr:colOff>
      <xdr:row>210</xdr:row>
      <xdr:rowOff>165100</xdr:rowOff>
    </xdr:to>
    <xdr:graphicFrame macro="">
      <xdr:nvGraphicFramePr>
        <xdr:cNvPr id="25" name="Grafico 24">
          <a:extLst>
            <a:ext uri="{FF2B5EF4-FFF2-40B4-BE49-F238E27FC236}">
              <a16:creationId xmlns:a16="http://schemas.microsoft.com/office/drawing/2014/main" id="{C0A77D96-A714-48AD-BAFF-A9E330B2CF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92</xdr:col>
      <xdr:colOff>1511300</xdr:colOff>
      <xdr:row>126</xdr:row>
      <xdr:rowOff>152400</xdr:rowOff>
    </xdr:from>
    <xdr:to>
      <xdr:col>99</xdr:col>
      <xdr:colOff>819150</xdr:colOff>
      <xdr:row>162</xdr:row>
      <xdr:rowOff>0</xdr:rowOff>
    </xdr:to>
    <xdr:graphicFrame macro="">
      <xdr:nvGraphicFramePr>
        <xdr:cNvPr id="27" name="Grafico 26">
          <a:extLst>
            <a:ext uri="{FF2B5EF4-FFF2-40B4-BE49-F238E27FC236}">
              <a16:creationId xmlns:a16="http://schemas.microsoft.com/office/drawing/2014/main" id="{3941E7C7-D6A8-4AFC-87F3-5421F4327F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99</xdr:col>
      <xdr:colOff>1054100</xdr:colOff>
      <xdr:row>126</xdr:row>
      <xdr:rowOff>146050</xdr:rowOff>
    </xdr:from>
    <xdr:to>
      <xdr:col>108</xdr:col>
      <xdr:colOff>1619250</xdr:colOff>
      <xdr:row>161</xdr:row>
      <xdr:rowOff>361950</xdr:rowOff>
    </xdr:to>
    <xdr:graphicFrame macro="">
      <xdr:nvGraphicFramePr>
        <xdr:cNvPr id="28" name="Grafico 27">
          <a:extLst>
            <a:ext uri="{FF2B5EF4-FFF2-40B4-BE49-F238E27FC236}">
              <a16:creationId xmlns:a16="http://schemas.microsoft.com/office/drawing/2014/main" id="{92D6662A-C766-4808-B430-B41354FDC4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113</xdr:col>
      <xdr:colOff>342900</xdr:colOff>
      <xdr:row>125</xdr:row>
      <xdr:rowOff>15240</xdr:rowOff>
    </xdr:from>
    <xdr:to>
      <xdr:col>122</xdr:col>
      <xdr:colOff>76200</xdr:colOff>
      <xdr:row>161</xdr:row>
      <xdr:rowOff>50800</xdr:rowOff>
    </xdr:to>
    <xdr:graphicFrame macro="">
      <xdr:nvGraphicFramePr>
        <xdr:cNvPr id="29" name="Grafico 28">
          <a:extLst>
            <a:ext uri="{FF2B5EF4-FFF2-40B4-BE49-F238E27FC236}">
              <a16:creationId xmlns:a16="http://schemas.microsoft.com/office/drawing/2014/main" id="{9E57C168-B7F5-471A-A2A5-5037B99B12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99</xdr:col>
      <xdr:colOff>1009650</xdr:colOff>
      <xdr:row>163</xdr:row>
      <xdr:rowOff>165100</xdr:rowOff>
    </xdr:from>
    <xdr:to>
      <xdr:col>108</xdr:col>
      <xdr:colOff>1651000</xdr:colOff>
      <xdr:row>198</xdr:row>
      <xdr:rowOff>177800</xdr:rowOff>
    </xdr:to>
    <xdr:graphicFrame macro="">
      <xdr:nvGraphicFramePr>
        <xdr:cNvPr id="31" name="Grafico 30">
          <a:extLst>
            <a:ext uri="{FF2B5EF4-FFF2-40B4-BE49-F238E27FC236}">
              <a16:creationId xmlns:a16="http://schemas.microsoft.com/office/drawing/2014/main" id="{9196FC3F-C61C-49D9-A5FD-DC16B7F1B0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113</xdr:col>
      <xdr:colOff>389164</xdr:colOff>
      <xdr:row>162</xdr:row>
      <xdr:rowOff>119742</xdr:rowOff>
    </xdr:from>
    <xdr:to>
      <xdr:col>122</xdr:col>
      <xdr:colOff>228600</xdr:colOff>
      <xdr:row>199</xdr:row>
      <xdr:rowOff>152400</xdr:rowOff>
    </xdr:to>
    <xdr:graphicFrame macro="">
      <xdr:nvGraphicFramePr>
        <xdr:cNvPr id="32" name="Grafico 31">
          <a:extLst>
            <a:ext uri="{FF2B5EF4-FFF2-40B4-BE49-F238E27FC236}">
              <a16:creationId xmlns:a16="http://schemas.microsoft.com/office/drawing/2014/main" id="{6DEEB1BF-58C4-4DDC-8D3B-D8D76C4B95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99</xdr:col>
      <xdr:colOff>1087120</xdr:colOff>
      <xdr:row>200</xdr:row>
      <xdr:rowOff>86360</xdr:rowOff>
    </xdr:from>
    <xdr:to>
      <xdr:col>108</xdr:col>
      <xdr:colOff>1659890</xdr:colOff>
      <xdr:row>237</xdr:row>
      <xdr:rowOff>73660</xdr:rowOff>
    </xdr:to>
    <xdr:graphicFrame macro="">
      <xdr:nvGraphicFramePr>
        <xdr:cNvPr id="34" name="Grafico 33">
          <a:extLst>
            <a:ext uri="{FF2B5EF4-FFF2-40B4-BE49-F238E27FC236}">
              <a16:creationId xmlns:a16="http://schemas.microsoft.com/office/drawing/2014/main" id="{102F63EA-33C8-485B-A927-71669BDB3C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113</xdr:col>
      <xdr:colOff>391886</xdr:colOff>
      <xdr:row>201</xdr:row>
      <xdr:rowOff>70757</xdr:rowOff>
    </xdr:from>
    <xdr:to>
      <xdr:col>122</xdr:col>
      <xdr:colOff>304800</xdr:colOff>
      <xdr:row>239</xdr:row>
      <xdr:rowOff>38100</xdr:rowOff>
    </xdr:to>
    <xdr:graphicFrame macro="">
      <xdr:nvGraphicFramePr>
        <xdr:cNvPr id="35" name="Grafico 34">
          <a:extLst>
            <a:ext uri="{FF2B5EF4-FFF2-40B4-BE49-F238E27FC236}">
              <a16:creationId xmlns:a16="http://schemas.microsoft.com/office/drawing/2014/main" id="{0DB44EBF-AA0F-4D56-B811-588922A50B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175</xdr:col>
      <xdr:colOff>412750</xdr:colOff>
      <xdr:row>73</xdr:row>
      <xdr:rowOff>114300</xdr:rowOff>
    </xdr:from>
    <xdr:to>
      <xdr:col>204</xdr:col>
      <xdr:colOff>330200</xdr:colOff>
      <xdr:row>127</xdr:row>
      <xdr:rowOff>127000</xdr:rowOff>
    </xdr:to>
    <xdr:graphicFrame macro="">
      <xdr:nvGraphicFramePr>
        <xdr:cNvPr id="36" name="Grafico 35">
          <a:extLst>
            <a:ext uri="{FF2B5EF4-FFF2-40B4-BE49-F238E27FC236}">
              <a16:creationId xmlns:a16="http://schemas.microsoft.com/office/drawing/2014/main" id="{B340AAD4-0555-449C-A9D1-F97C22B485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123</xdr:col>
      <xdr:colOff>1687830</xdr:colOff>
      <xdr:row>128</xdr:row>
      <xdr:rowOff>152400</xdr:rowOff>
    </xdr:from>
    <xdr:to>
      <xdr:col>146</xdr:col>
      <xdr:colOff>514350</xdr:colOff>
      <xdr:row>166</xdr:row>
      <xdr:rowOff>95250</xdr:rowOff>
    </xdr:to>
    <xdr:graphicFrame macro="">
      <xdr:nvGraphicFramePr>
        <xdr:cNvPr id="37" name="Grafico 36">
          <a:extLst>
            <a:ext uri="{FF2B5EF4-FFF2-40B4-BE49-F238E27FC236}">
              <a16:creationId xmlns:a16="http://schemas.microsoft.com/office/drawing/2014/main" id="{C7544FFB-B754-41C2-A781-6F91E7BE59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147</xdr:col>
      <xdr:colOff>274320</xdr:colOff>
      <xdr:row>128</xdr:row>
      <xdr:rowOff>182880</xdr:rowOff>
    </xdr:from>
    <xdr:to>
      <xdr:col>170</xdr:col>
      <xdr:colOff>1402080</xdr:colOff>
      <xdr:row>166</xdr:row>
      <xdr:rowOff>182880</xdr:rowOff>
    </xdr:to>
    <xdr:graphicFrame macro="">
      <xdr:nvGraphicFramePr>
        <xdr:cNvPr id="38" name="Grafico 37">
          <a:extLst>
            <a:ext uri="{FF2B5EF4-FFF2-40B4-BE49-F238E27FC236}">
              <a16:creationId xmlns:a16="http://schemas.microsoft.com/office/drawing/2014/main" id="{F08989AF-8848-4B93-8A5B-9B4AEA96B1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147</xdr:col>
      <xdr:colOff>243840</xdr:colOff>
      <xdr:row>168</xdr:row>
      <xdr:rowOff>65314</xdr:rowOff>
    </xdr:from>
    <xdr:to>
      <xdr:col>170</xdr:col>
      <xdr:colOff>1402080</xdr:colOff>
      <xdr:row>206</xdr:row>
      <xdr:rowOff>0</xdr:rowOff>
    </xdr:to>
    <xdr:graphicFrame macro="">
      <xdr:nvGraphicFramePr>
        <xdr:cNvPr id="40" name="Grafico 39">
          <a:extLst>
            <a:ext uri="{FF2B5EF4-FFF2-40B4-BE49-F238E27FC236}">
              <a16:creationId xmlns:a16="http://schemas.microsoft.com/office/drawing/2014/main" id="{D140EB85-A30A-45B5-A74B-8823B28145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175</xdr:col>
      <xdr:colOff>431800</xdr:colOff>
      <xdr:row>132</xdr:row>
      <xdr:rowOff>127000</xdr:rowOff>
    </xdr:from>
    <xdr:to>
      <xdr:col>204</xdr:col>
      <xdr:colOff>355600</xdr:colOff>
      <xdr:row>168</xdr:row>
      <xdr:rowOff>152400</xdr:rowOff>
    </xdr:to>
    <xdr:graphicFrame macro="">
      <xdr:nvGraphicFramePr>
        <xdr:cNvPr id="41" name="Grafico 40">
          <a:extLst>
            <a:ext uri="{FF2B5EF4-FFF2-40B4-BE49-F238E27FC236}">
              <a16:creationId xmlns:a16="http://schemas.microsoft.com/office/drawing/2014/main" id="{92BCA4A8-B1DA-4EA9-ACCF-2F741C937F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147</xdr:col>
      <xdr:colOff>167640</xdr:colOff>
      <xdr:row>207</xdr:row>
      <xdr:rowOff>0</xdr:rowOff>
    </xdr:from>
    <xdr:to>
      <xdr:col>170</xdr:col>
      <xdr:colOff>1341120</xdr:colOff>
      <xdr:row>246</xdr:row>
      <xdr:rowOff>152400</xdr:rowOff>
    </xdr:to>
    <xdr:graphicFrame macro="">
      <xdr:nvGraphicFramePr>
        <xdr:cNvPr id="44" name="Grafico 43">
          <a:extLst>
            <a:ext uri="{FF2B5EF4-FFF2-40B4-BE49-F238E27FC236}">
              <a16:creationId xmlns:a16="http://schemas.microsoft.com/office/drawing/2014/main" id="{D4D524A9-ECFB-4776-BB56-72D3D7012D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175</xdr:col>
      <xdr:colOff>361950</xdr:colOff>
      <xdr:row>210</xdr:row>
      <xdr:rowOff>114300</xdr:rowOff>
    </xdr:from>
    <xdr:to>
      <xdr:col>204</xdr:col>
      <xdr:colOff>285750</xdr:colOff>
      <xdr:row>249</xdr:row>
      <xdr:rowOff>63500</xdr:rowOff>
    </xdr:to>
    <xdr:graphicFrame macro="">
      <xdr:nvGraphicFramePr>
        <xdr:cNvPr id="45" name="Grafico 44">
          <a:extLst>
            <a:ext uri="{FF2B5EF4-FFF2-40B4-BE49-F238E27FC236}">
              <a16:creationId xmlns:a16="http://schemas.microsoft.com/office/drawing/2014/main" id="{60495DD5-F4B0-4500-81CC-33E846CC19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71</xdr:col>
      <xdr:colOff>622300</xdr:colOff>
      <xdr:row>211</xdr:row>
      <xdr:rowOff>137160</xdr:rowOff>
    </xdr:from>
    <xdr:to>
      <xdr:col>84</xdr:col>
      <xdr:colOff>1701800</xdr:colOff>
      <xdr:row>251</xdr:row>
      <xdr:rowOff>139700</xdr:rowOff>
    </xdr:to>
    <xdr:graphicFrame macro="">
      <xdr:nvGraphicFramePr>
        <xdr:cNvPr id="46" name="Grafico 45">
          <a:extLst>
            <a:ext uri="{FF2B5EF4-FFF2-40B4-BE49-F238E27FC236}">
              <a16:creationId xmlns:a16="http://schemas.microsoft.com/office/drawing/2014/main" id="{6B69DD93-F3E6-45A4-8FAC-482B08283BF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0</xdr:col>
      <xdr:colOff>546100</xdr:colOff>
      <xdr:row>200</xdr:row>
      <xdr:rowOff>0</xdr:rowOff>
    </xdr:from>
    <xdr:to>
      <xdr:col>9</xdr:col>
      <xdr:colOff>12699</xdr:colOff>
      <xdr:row>236</xdr:row>
      <xdr:rowOff>25399</xdr:rowOff>
    </xdr:to>
    <xdr:graphicFrame macro="">
      <xdr:nvGraphicFramePr>
        <xdr:cNvPr id="48" name="Grafico 47">
          <a:extLst>
            <a:ext uri="{FF2B5EF4-FFF2-40B4-BE49-F238E27FC236}">
              <a16:creationId xmlns:a16="http://schemas.microsoft.com/office/drawing/2014/main" id="{0568EEF4-E8E4-453C-B6B4-7C72DC6B44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92</xdr:col>
      <xdr:colOff>1478280</xdr:colOff>
      <xdr:row>163</xdr:row>
      <xdr:rowOff>167640</xdr:rowOff>
    </xdr:from>
    <xdr:to>
      <xdr:col>99</xdr:col>
      <xdr:colOff>786130</xdr:colOff>
      <xdr:row>198</xdr:row>
      <xdr:rowOff>167640</xdr:rowOff>
    </xdr:to>
    <xdr:graphicFrame macro="">
      <xdr:nvGraphicFramePr>
        <xdr:cNvPr id="47" name="Grafico 46">
          <a:extLst>
            <a:ext uri="{FF2B5EF4-FFF2-40B4-BE49-F238E27FC236}">
              <a16:creationId xmlns:a16="http://schemas.microsoft.com/office/drawing/2014/main" id="{830252DE-2C7A-4C19-9E1F-5221D867F7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92</xdr:col>
      <xdr:colOff>1463040</xdr:colOff>
      <xdr:row>200</xdr:row>
      <xdr:rowOff>45720</xdr:rowOff>
    </xdr:from>
    <xdr:to>
      <xdr:col>99</xdr:col>
      <xdr:colOff>770890</xdr:colOff>
      <xdr:row>236</xdr:row>
      <xdr:rowOff>76200</xdr:rowOff>
    </xdr:to>
    <xdr:graphicFrame macro="">
      <xdr:nvGraphicFramePr>
        <xdr:cNvPr id="49" name="Grafico 48">
          <a:extLst>
            <a:ext uri="{FF2B5EF4-FFF2-40B4-BE49-F238E27FC236}">
              <a16:creationId xmlns:a16="http://schemas.microsoft.com/office/drawing/2014/main" id="{667715F9-B794-449A-A7F9-AA39CA0F24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123</xdr:col>
      <xdr:colOff>1695450</xdr:colOff>
      <xdr:row>168</xdr:row>
      <xdr:rowOff>38100</xdr:rowOff>
    </xdr:from>
    <xdr:to>
      <xdr:col>146</xdr:col>
      <xdr:colOff>521970</xdr:colOff>
      <xdr:row>205</xdr:row>
      <xdr:rowOff>133350</xdr:rowOff>
    </xdr:to>
    <xdr:graphicFrame macro="">
      <xdr:nvGraphicFramePr>
        <xdr:cNvPr id="50" name="Grafico 49">
          <a:extLst>
            <a:ext uri="{FF2B5EF4-FFF2-40B4-BE49-F238E27FC236}">
              <a16:creationId xmlns:a16="http://schemas.microsoft.com/office/drawing/2014/main" id="{2CEE8A12-3302-4CB4-BCFA-729514FE0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123</xdr:col>
      <xdr:colOff>1695450</xdr:colOff>
      <xdr:row>207</xdr:row>
      <xdr:rowOff>38100</xdr:rowOff>
    </xdr:from>
    <xdr:to>
      <xdr:col>146</xdr:col>
      <xdr:colOff>521970</xdr:colOff>
      <xdr:row>245</xdr:row>
      <xdr:rowOff>171450</xdr:rowOff>
    </xdr:to>
    <xdr:graphicFrame macro="">
      <xdr:nvGraphicFramePr>
        <xdr:cNvPr id="51" name="Grafico 50">
          <a:extLst>
            <a:ext uri="{FF2B5EF4-FFF2-40B4-BE49-F238E27FC236}">
              <a16:creationId xmlns:a16="http://schemas.microsoft.com/office/drawing/2014/main" id="{3BC74CED-C22C-4568-BF22-BA207F4F99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175</xdr:col>
      <xdr:colOff>457200</xdr:colOff>
      <xdr:row>170</xdr:row>
      <xdr:rowOff>38100</xdr:rowOff>
    </xdr:from>
    <xdr:to>
      <xdr:col>204</xdr:col>
      <xdr:colOff>457200</xdr:colOff>
      <xdr:row>208</xdr:row>
      <xdr:rowOff>152400</xdr:rowOff>
    </xdr:to>
    <xdr:graphicFrame macro="">
      <xdr:nvGraphicFramePr>
        <xdr:cNvPr id="52" name="Grafico 51">
          <a:extLst>
            <a:ext uri="{FF2B5EF4-FFF2-40B4-BE49-F238E27FC236}">
              <a16:creationId xmlns:a16="http://schemas.microsoft.com/office/drawing/2014/main" id="{85B67C75-76F9-42F1-9402-5F219E2267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0</xdr:col>
      <xdr:colOff>609600</xdr:colOff>
      <xdr:row>240</xdr:row>
      <xdr:rowOff>25400</xdr:rowOff>
    </xdr:from>
    <xdr:to>
      <xdr:col>16</xdr:col>
      <xdr:colOff>330200</xdr:colOff>
      <xdr:row>281</xdr:row>
      <xdr:rowOff>50800</xdr:rowOff>
    </xdr:to>
    <xdr:graphicFrame macro="">
      <xdr:nvGraphicFramePr>
        <xdr:cNvPr id="53" name="Grafico 52">
          <a:extLst>
            <a:ext uri="{FF2B5EF4-FFF2-40B4-BE49-F238E27FC236}">
              <a16:creationId xmlns:a16="http://schemas.microsoft.com/office/drawing/2014/main" id="{54B0E7A1-2698-4EB3-A7FD-11728C97C0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40</xdr:col>
      <xdr:colOff>838200</xdr:colOff>
      <xdr:row>240</xdr:row>
      <xdr:rowOff>127000</xdr:rowOff>
    </xdr:from>
    <xdr:to>
      <xdr:col>61</xdr:col>
      <xdr:colOff>1625600</xdr:colOff>
      <xdr:row>281</xdr:row>
      <xdr:rowOff>152400</xdr:rowOff>
    </xdr:to>
    <xdr:graphicFrame macro="">
      <xdr:nvGraphicFramePr>
        <xdr:cNvPr id="54" name="Grafico 53">
          <a:extLst>
            <a:ext uri="{FF2B5EF4-FFF2-40B4-BE49-F238E27FC236}">
              <a16:creationId xmlns:a16="http://schemas.microsoft.com/office/drawing/2014/main" id="{DBD0B143-F8AF-48B5-A78F-3BC876969F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92</xdr:col>
      <xdr:colOff>1615440</xdr:colOff>
      <xdr:row>239</xdr:row>
      <xdr:rowOff>30480</xdr:rowOff>
    </xdr:from>
    <xdr:to>
      <xdr:col>112</xdr:col>
      <xdr:colOff>1889760</xdr:colOff>
      <xdr:row>280</xdr:row>
      <xdr:rowOff>182880</xdr:rowOff>
    </xdr:to>
    <xdr:graphicFrame macro="">
      <xdr:nvGraphicFramePr>
        <xdr:cNvPr id="55" name="Grafico 54">
          <a:extLst>
            <a:ext uri="{FF2B5EF4-FFF2-40B4-BE49-F238E27FC236}">
              <a16:creationId xmlns:a16="http://schemas.microsoft.com/office/drawing/2014/main" id="{EEF74D15-60BA-4E1F-AB2B-5953665955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123</xdr:col>
      <xdr:colOff>1778000</xdr:colOff>
      <xdr:row>247</xdr:row>
      <xdr:rowOff>127000</xdr:rowOff>
    </xdr:from>
    <xdr:to>
      <xdr:col>164</xdr:col>
      <xdr:colOff>528320</xdr:colOff>
      <xdr:row>289</xdr:row>
      <xdr:rowOff>76200</xdr:rowOff>
    </xdr:to>
    <xdr:graphicFrame macro="">
      <xdr:nvGraphicFramePr>
        <xdr:cNvPr id="56" name="Grafico 55">
          <a:extLst>
            <a:ext uri="{FF2B5EF4-FFF2-40B4-BE49-F238E27FC236}">
              <a16:creationId xmlns:a16="http://schemas.microsoft.com/office/drawing/2014/main" id="{2A25D085-C6E4-414F-A568-EB63CAB995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0</xdr:col>
      <xdr:colOff>655320</xdr:colOff>
      <xdr:row>282</xdr:row>
      <xdr:rowOff>30480</xdr:rowOff>
    </xdr:from>
    <xdr:to>
      <xdr:col>21</xdr:col>
      <xdr:colOff>198663</xdr:colOff>
      <xdr:row>332</xdr:row>
      <xdr:rowOff>119380</xdr:rowOff>
    </xdr:to>
    <xdr:graphicFrame macro="">
      <xdr:nvGraphicFramePr>
        <xdr:cNvPr id="57" name="Grafico 56">
          <a:extLst>
            <a:ext uri="{FF2B5EF4-FFF2-40B4-BE49-F238E27FC236}">
              <a16:creationId xmlns:a16="http://schemas.microsoft.com/office/drawing/2014/main" id="{D2F78EF0-DE6A-4441-B9E2-975840FE6E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40</xdr:col>
      <xdr:colOff>762000</xdr:colOff>
      <xdr:row>283</xdr:row>
      <xdr:rowOff>0</xdr:rowOff>
    </xdr:from>
    <xdr:to>
      <xdr:col>60</xdr:col>
      <xdr:colOff>965743</xdr:colOff>
      <xdr:row>333</xdr:row>
      <xdr:rowOff>88900</xdr:rowOff>
    </xdr:to>
    <xdr:graphicFrame macro="">
      <xdr:nvGraphicFramePr>
        <xdr:cNvPr id="58" name="Grafico 57">
          <a:extLst>
            <a:ext uri="{FF2B5EF4-FFF2-40B4-BE49-F238E27FC236}">
              <a16:creationId xmlns:a16="http://schemas.microsoft.com/office/drawing/2014/main" id="{2F2F376C-ED81-4F96-9DFB-216BDAD23D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92</xdr:col>
      <xdr:colOff>1574800</xdr:colOff>
      <xdr:row>282</xdr:row>
      <xdr:rowOff>0</xdr:rowOff>
    </xdr:from>
    <xdr:to>
      <xdr:col>116</xdr:col>
      <xdr:colOff>1803943</xdr:colOff>
      <xdr:row>332</xdr:row>
      <xdr:rowOff>88900</xdr:rowOff>
    </xdr:to>
    <xdr:graphicFrame macro="">
      <xdr:nvGraphicFramePr>
        <xdr:cNvPr id="59" name="Grafico 58">
          <a:extLst>
            <a:ext uri="{FF2B5EF4-FFF2-40B4-BE49-F238E27FC236}">
              <a16:creationId xmlns:a16="http://schemas.microsoft.com/office/drawing/2014/main" id="{BF021D40-9F7B-4AB4-B3C1-ECE22E9327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123</xdr:col>
      <xdr:colOff>1889760</xdr:colOff>
      <xdr:row>290</xdr:row>
      <xdr:rowOff>76200</xdr:rowOff>
    </xdr:from>
    <xdr:to>
      <xdr:col>173</xdr:col>
      <xdr:colOff>152943</xdr:colOff>
      <xdr:row>340</xdr:row>
      <xdr:rowOff>165100</xdr:rowOff>
    </xdr:to>
    <xdr:graphicFrame macro="">
      <xdr:nvGraphicFramePr>
        <xdr:cNvPr id="60" name="Grafico 59">
          <a:extLst>
            <a:ext uri="{FF2B5EF4-FFF2-40B4-BE49-F238E27FC236}">
              <a16:creationId xmlns:a16="http://schemas.microsoft.com/office/drawing/2014/main" id="{37D33962-CA10-425C-89FB-D0FAEBD6A3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0</xdr:col>
      <xdr:colOff>736600</xdr:colOff>
      <xdr:row>333</xdr:row>
      <xdr:rowOff>127000</xdr:rowOff>
    </xdr:from>
    <xdr:to>
      <xdr:col>21</xdr:col>
      <xdr:colOff>274863</xdr:colOff>
      <xdr:row>384</xdr:row>
      <xdr:rowOff>12700</xdr:rowOff>
    </xdr:to>
    <xdr:graphicFrame macro="">
      <xdr:nvGraphicFramePr>
        <xdr:cNvPr id="61" name="Grafico 60">
          <a:extLst>
            <a:ext uri="{FF2B5EF4-FFF2-40B4-BE49-F238E27FC236}">
              <a16:creationId xmlns:a16="http://schemas.microsoft.com/office/drawing/2014/main" id="{9BE069F6-C2FE-44CC-AAA7-7EE6CF9C27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40</xdr:col>
      <xdr:colOff>812800</xdr:colOff>
      <xdr:row>334</xdr:row>
      <xdr:rowOff>101600</xdr:rowOff>
    </xdr:from>
    <xdr:to>
      <xdr:col>59</xdr:col>
      <xdr:colOff>11196863</xdr:colOff>
      <xdr:row>384</xdr:row>
      <xdr:rowOff>190500</xdr:rowOff>
    </xdr:to>
    <xdr:graphicFrame macro="">
      <xdr:nvGraphicFramePr>
        <xdr:cNvPr id="62" name="Grafico 61">
          <a:extLst>
            <a:ext uri="{FF2B5EF4-FFF2-40B4-BE49-F238E27FC236}">
              <a16:creationId xmlns:a16="http://schemas.microsoft.com/office/drawing/2014/main" id="{477E2570-D890-4917-9FA2-A6BE6882D2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92</xdr:col>
      <xdr:colOff>1549400</xdr:colOff>
      <xdr:row>333</xdr:row>
      <xdr:rowOff>127000</xdr:rowOff>
    </xdr:from>
    <xdr:to>
      <xdr:col>116</xdr:col>
      <xdr:colOff>1773463</xdr:colOff>
      <xdr:row>384</xdr:row>
      <xdr:rowOff>12700</xdr:rowOff>
    </xdr:to>
    <xdr:graphicFrame macro="">
      <xdr:nvGraphicFramePr>
        <xdr:cNvPr id="63" name="Grafico 62">
          <a:extLst>
            <a:ext uri="{FF2B5EF4-FFF2-40B4-BE49-F238E27FC236}">
              <a16:creationId xmlns:a16="http://schemas.microsoft.com/office/drawing/2014/main" id="{F8158E6B-8A05-4C42-930D-63D6866035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twoCellAnchor>
    <xdr:from>
      <xdr:col>123</xdr:col>
      <xdr:colOff>1996440</xdr:colOff>
      <xdr:row>341</xdr:row>
      <xdr:rowOff>152400</xdr:rowOff>
    </xdr:from>
    <xdr:to>
      <xdr:col>172</xdr:col>
      <xdr:colOff>71663</xdr:colOff>
      <xdr:row>392</xdr:row>
      <xdr:rowOff>38100</xdr:rowOff>
    </xdr:to>
    <xdr:graphicFrame macro="">
      <xdr:nvGraphicFramePr>
        <xdr:cNvPr id="65" name="Grafico 64">
          <a:extLst>
            <a:ext uri="{FF2B5EF4-FFF2-40B4-BE49-F238E27FC236}">
              <a16:creationId xmlns:a16="http://schemas.microsoft.com/office/drawing/2014/main" id="{5DBE1C9C-3DC5-452E-8D8F-909A28F76D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6"/>
        </a:graphicData>
      </a:graphic>
    </xdr:graphicFrame>
    <xdr:clientData/>
  </xdr:twoCellAnchor>
  <xdr:twoCellAnchor>
    <xdr:from>
      <xdr:col>0</xdr:col>
      <xdr:colOff>655320</xdr:colOff>
      <xdr:row>386</xdr:row>
      <xdr:rowOff>0</xdr:rowOff>
    </xdr:from>
    <xdr:to>
      <xdr:col>21</xdr:col>
      <xdr:colOff>193583</xdr:colOff>
      <xdr:row>436</xdr:row>
      <xdr:rowOff>83820</xdr:rowOff>
    </xdr:to>
    <xdr:graphicFrame macro="">
      <xdr:nvGraphicFramePr>
        <xdr:cNvPr id="64" name="Grafico 63">
          <a:extLst>
            <a:ext uri="{FF2B5EF4-FFF2-40B4-BE49-F238E27FC236}">
              <a16:creationId xmlns:a16="http://schemas.microsoft.com/office/drawing/2014/main" id="{A851CDE9-B808-44C4-BF3D-392D0A30AD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7"/>
        </a:graphicData>
      </a:graphic>
    </xdr:graphicFrame>
    <xdr:clientData/>
  </xdr:twoCellAnchor>
  <xdr:twoCellAnchor>
    <xdr:from>
      <xdr:col>0</xdr:col>
      <xdr:colOff>685800</xdr:colOff>
      <xdr:row>437</xdr:row>
      <xdr:rowOff>182880</xdr:rowOff>
    </xdr:from>
    <xdr:to>
      <xdr:col>21</xdr:col>
      <xdr:colOff>224063</xdr:colOff>
      <xdr:row>488</xdr:row>
      <xdr:rowOff>68580</xdr:rowOff>
    </xdr:to>
    <xdr:graphicFrame macro="">
      <xdr:nvGraphicFramePr>
        <xdr:cNvPr id="66" name="Grafico 65">
          <a:extLst>
            <a:ext uri="{FF2B5EF4-FFF2-40B4-BE49-F238E27FC236}">
              <a16:creationId xmlns:a16="http://schemas.microsoft.com/office/drawing/2014/main" id="{963F0C2C-9A60-4863-9B0A-6681312EFB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8"/>
        </a:graphicData>
      </a:graphic>
    </xdr:graphicFrame>
    <xdr:clientData/>
  </xdr:twoCellAnchor>
  <xdr:twoCellAnchor>
    <xdr:from>
      <xdr:col>40</xdr:col>
      <xdr:colOff>800100</xdr:colOff>
      <xdr:row>385</xdr:row>
      <xdr:rowOff>171450</xdr:rowOff>
    </xdr:from>
    <xdr:to>
      <xdr:col>59</xdr:col>
      <xdr:colOff>11201400</xdr:colOff>
      <xdr:row>436</xdr:row>
      <xdr:rowOff>76200</xdr:rowOff>
    </xdr:to>
    <xdr:graphicFrame macro="">
      <xdr:nvGraphicFramePr>
        <xdr:cNvPr id="67" name="Grafico 66">
          <a:extLst>
            <a:ext uri="{FF2B5EF4-FFF2-40B4-BE49-F238E27FC236}">
              <a16:creationId xmlns:a16="http://schemas.microsoft.com/office/drawing/2014/main" id="{9382D23F-EF1F-43B2-83C1-B66236C65A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9"/>
        </a:graphicData>
      </a:graphic>
    </xdr:graphicFrame>
    <xdr:clientData/>
  </xdr:twoCellAnchor>
  <xdr:twoCellAnchor>
    <xdr:from>
      <xdr:col>40</xdr:col>
      <xdr:colOff>800100</xdr:colOff>
      <xdr:row>437</xdr:row>
      <xdr:rowOff>38100</xdr:rowOff>
    </xdr:from>
    <xdr:to>
      <xdr:col>59</xdr:col>
      <xdr:colOff>11201400</xdr:colOff>
      <xdr:row>486</xdr:row>
      <xdr:rowOff>38100</xdr:rowOff>
    </xdr:to>
    <xdr:graphicFrame macro="">
      <xdr:nvGraphicFramePr>
        <xdr:cNvPr id="68" name="Grafico 67">
          <a:extLst>
            <a:ext uri="{FF2B5EF4-FFF2-40B4-BE49-F238E27FC236}">
              <a16:creationId xmlns:a16="http://schemas.microsoft.com/office/drawing/2014/main" id="{0C9F903D-B59C-4972-9E9D-8B869810E2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0"/>
        </a:graphicData>
      </a:graphic>
    </xdr:graphicFrame>
    <xdr:clientData/>
  </xdr:twoCellAnchor>
  <xdr:twoCellAnchor>
    <xdr:from>
      <xdr:col>92</xdr:col>
      <xdr:colOff>1562100</xdr:colOff>
      <xdr:row>385</xdr:row>
      <xdr:rowOff>0</xdr:rowOff>
    </xdr:from>
    <xdr:to>
      <xdr:col>118</xdr:col>
      <xdr:colOff>1676400</xdr:colOff>
      <xdr:row>435</xdr:row>
      <xdr:rowOff>95250</xdr:rowOff>
    </xdr:to>
    <xdr:graphicFrame macro="">
      <xdr:nvGraphicFramePr>
        <xdr:cNvPr id="69" name="Grafico 68">
          <a:extLst>
            <a:ext uri="{FF2B5EF4-FFF2-40B4-BE49-F238E27FC236}">
              <a16:creationId xmlns:a16="http://schemas.microsoft.com/office/drawing/2014/main" id="{95B8A515-BAD7-4A5B-8855-01AFCFE3BD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1"/>
        </a:graphicData>
      </a:graphic>
    </xdr:graphicFrame>
    <xdr:clientData/>
  </xdr:twoCellAnchor>
  <xdr:twoCellAnchor>
    <xdr:from>
      <xdr:col>92</xdr:col>
      <xdr:colOff>1638300</xdr:colOff>
      <xdr:row>436</xdr:row>
      <xdr:rowOff>76200</xdr:rowOff>
    </xdr:from>
    <xdr:to>
      <xdr:col>118</xdr:col>
      <xdr:colOff>1752600</xdr:colOff>
      <xdr:row>485</xdr:row>
      <xdr:rowOff>76200</xdr:rowOff>
    </xdr:to>
    <xdr:graphicFrame macro="">
      <xdr:nvGraphicFramePr>
        <xdr:cNvPr id="70" name="Grafico 69">
          <a:extLst>
            <a:ext uri="{FF2B5EF4-FFF2-40B4-BE49-F238E27FC236}">
              <a16:creationId xmlns:a16="http://schemas.microsoft.com/office/drawing/2014/main" id="{89CA5DF8-BDFE-4C2F-A489-5222EBBF73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2"/>
        </a:graphicData>
      </a:graphic>
    </xdr:graphicFrame>
    <xdr:clientData/>
  </xdr:twoCellAnchor>
  <xdr:twoCellAnchor>
    <xdr:from>
      <xdr:col>123</xdr:col>
      <xdr:colOff>1981200</xdr:colOff>
      <xdr:row>393</xdr:row>
      <xdr:rowOff>0</xdr:rowOff>
    </xdr:from>
    <xdr:to>
      <xdr:col>182</xdr:col>
      <xdr:colOff>165100</xdr:colOff>
      <xdr:row>443</xdr:row>
      <xdr:rowOff>95250</xdr:rowOff>
    </xdr:to>
    <xdr:graphicFrame macro="">
      <xdr:nvGraphicFramePr>
        <xdr:cNvPr id="71" name="Grafico 70">
          <a:extLst>
            <a:ext uri="{FF2B5EF4-FFF2-40B4-BE49-F238E27FC236}">
              <a16:creationId xmlns:a16="http://schemas.microsoft.com/office/drawing/2014/main" id="{135FCAF9-A9F2-4BD8-AED6-103007FC98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3"/>
        </a:graphicData>
      </a:graphic>
    </xdr:graphicFrame>
    <xdr:clientData/>
  </xdr:twoCellAnchor>
  <xdr:twoCellAnchor>
    <xdr:from>
      <xdr:col>123</xdr:col>
      <xdr:colOff>2057400</xdr:colOff>
      <xdr:row>444</xdr:row>
      <xdr:rowOff>76200</xdr:rowOff>
    </xdr:from>
    <xdr:to>
      <xdr:col>181</xdr:col>
      <xdr:colOff>571500</xdr:colOff>
      <xdr:row>493</xdr:row>
      <xdr:rowOff>76200</xdr:rowOff>
    </xdr:to>
    <xdr:graphicFrame macro="">
      <xdr:nvGraphicFramePr>
        <xdr:cNvPr id="72" name="Grafico 71">
          <a:extLst>
            <a:ext uri="{FF2B5EF4-FFF2-40B4-BE49-F238E27FC236}">
              <a16:creationId xmlns:a16="http://schemas.microsoft.com/office/drawing/2014/main" id="{D1A55DAD-58CA-44F5-9B33-00E7BA7D7C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42</xdr:col>
      <xdr:colOff>120650</xdr:colOff>
      <xdr:row>8</xdr:row>
      <xdr:rowOff>107950</xdr:rowOff>
    </xdr:from>
    <xdr:to>
      <xdr:col>53</xdr:col>
      <xdr:colOff>571500</xdr:colOff>
      <xdr:row>27</xdr:row>
      <xdr:rowOff>12700</xdr:rowOff>
    </xdr:to>
    <xdr:graphicFrame macro="">
      <xdr:nvGraphicFramePr>
        <xdr:cNvPr id="2" name="Grafico 1">
          <a:extLst>
            <a:ext uri="{FF2B5EF4-FFF2-40B4-BE49-F238E27FC236}">
              <a16:creationId xmlns:a16="http://schemas.microsoft.com/office/drawing/2014/main" id="{B849BDB3-DC5F-49E7-8815-B6408C9D4B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47</xdr:col>
      <xdr:colOff>76199</xdr:colOff>
      <xdr:row>32</xdr:row>
      <xdr:rowOff>32657</xdr:rowOff>
    </xdr:from>
    <xdr:to>
      <xdr:col>57</xdr:col>
      <xdr:colOff>43541</xdr:colOff>
      <xdr:row>50</xdr:row>
      <xdr:rowOff>43543</xdr:rowOff>
    </xdr:to>
    <xdr:graphicFrame macro="">
      <xdr:nvGraphicFramePr>
        <xdr:cNvPr id="3" name="Grafico 2">
          <a:extLst>
            <a:ext uri="{FF2B5EF4-FFF2-40B4-BE49-F238E27FC236}">
              <a16:creationId xmlns:a16="http://schemas.microsoft.com/office/drawing/2014/main" id="{B49E6C4C-9EA3-463A-9279-119CA4A9B86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47</xdr:col>
      <xdr:colOff>152399</xdr:colOff>
      <xdr:row>51</xdr:row>
      <xdr:rowOff>76200</xdr:rowOff>
    </xdr:from>
    <xdr:to>
      <xdr:col>56</xdr:col>
      <xdr:colOff>533399</xdr:colOff>
      <xdr:row>67</xdr:row>
      <xdr:rowOff>32656</xdr:rowOff>
    </xdr:to>
    <xdr:graphicFrame macro="">
      <xdr:nvGraphicFramePr>
        <xdr:cNvPr id="4" name="Grafico 3">
          <a:extLst>
            <a:ext uri="{FF2B5EF4-FFF2-40B4-BE49-F238E27FC236}">
              <a16:creationId xmlns:a16="http://schemas.microsoft.com/office/drawing/2014/main" id="{7FC175AA-2498-49B9-BE88-0E8A6DD3AAF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48</xdr:col>
      <xdr:colOff>32657</xdr:colOff>
      <xdr:row>78</xdr:row>
      <xdr:rowOff>10886</xdr:rowOff>
    </xdr:from>
    <xdr:to>
      <xdr:col>54</xdr:col>
      <xdr:colOff>424543</xdr:colOff>
      <xdr:row>92</xdr:row>
      <xdr:rowOff>10886</xdr:rowOff>
    </xdr:to>
    <xdr:graphicFrame macro="">
      <xdr:nvGraphicFramePr>
        <xdr:cNvPr id="5" name="Grafico 4">
          <a:extLst>
            <a:ext uri="{FF2B5EF4-FFF2-40B4-BE49-F238E27FC236}">
              <a16:creationId xmlns:a16="http://schemas.microsoft.com/office/drawing/2014/main" id="{D09516DD-D70C-45FB-ACAE-9CFBD6A644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1EFCA-8AB7-44CB-B5E8-135AF52B3ADF}">
  <dimension ref="A1:IS225"/>
  <sheetViews>
    <sheetView tabSelected="1" topLeftCell="DB130" zoomScale="60" zoomScaleNormal="60" zoomScaleSheetLayoutView="50" workbookViewId="0">
      <selection activeCell="DI143" sqref="DI143"/>
    </sheetView>
  </sheetViews>
  <sheetFormatPr defaultRowHeight="15.6" x14ac:dyDescent="0.3"/>
  <cols>
    <col min="1" max="1" width="80.6640625" style="48" bestFit="1" customWidth="1"/>
    <col min="2" max="2" width="51.5546875" style="48" customWidth="1"/>
    <col min="3" max="3" width="25.5546875" style="48" customWidth="1"/>
    <col min="4" max="4" width="14.21875" style="48" bestFit="1" customWidth="1"/>
    <col min="5" max="5" width="5.6640625" style="48" bestFit="1" customWidth="1"/>
    <col min="6" max="6" width="6.44140625" style="48" bestFit="1" customWidth="1"/>
    <col min="7" max="7" width="38.6640625" style="48" bestFit="1" customWidth="1"/>
    <col min="8" max="8" width="39.33203125" style="48" bestFit="1" customWidth="1"/>
    <col min="9" max="9" width="27.21875" style="48" customWidth="1"/>
    <col min="10" max="10" width="28" style="48" bestFit="1" customWidth="1"/>
    <col min="11" max="11" width="26.21875" style="48" bestFit="1" customWidth="1"/>
    <col min="12" max="12" width="27.44140625" style="48" bestFit="1" customWidth="1"/>
    <col min="13" max="13" width="28" style="48" bestFit="1" customWidth="1"/>
    <col min="14" max="14" width="26.21875" style="48" bestFit="1" customWidth="1"/>
    <col min="15" max="15" width="27.44140625" style="48" bestFit="1" customWidth="1"/>
    <col min="16" max="16" width="28" style="48" bestFit="1" customWidth="1"/>
    <col min="17" max="17" width="26.21875" style="48" bestFit="1" customWidth="1"/>
    <col min="18" max="18" width="27.44140625" style="48" bestFit="1" customWidth="1"/>
    <col min="19" max="19" width="28" style="48" bestFit="1" customWidth="1"/>
    <col min="20" max="20" width="26.21875" style="48" bestFit="1" customWidth="1"/>
    <col min="21" max="21" width="27.21875" style="48" customWidth="1"/>
    <col min="22" max="22" width="28" style="48" bestFit="1" customWidth="1"/>
    <col min="23" max="23" width="26.21875" style="48" bestFit="1" customWidth="1"/>
    <col min="24" max="24" width="27.21875" style="48" customWidth="1"/>
    <col min="25" max="25" width="28" style="48" bestFit="1" customWidth="1"/>
    <col min="26" max="26" width="26.21875" style="48" bestFit="1" customWidth="1"/>
    <col min="27" max="27" width="27.44140625" style="48" bestFit="1" customWidth="1"/>
    <col min="28" max="28" width="28" style="48" bestFit="1" customWidth="1"/>
    <col min="29" max="29" width="26.21875" style="48" bestFit="1" customWidth="1"/>
    <col min="30" max="30" width="27.21875" style="48" customWidth="1"/>
    <col min="31" max="31" width="28" style="48" bestFit="1" customWidth="1"/>
    <col min="32" max="32" width="26.21875" style="48" bestFit="1" customWidth="1"/>
    <col min="33" max="33" width="27.44140625" style="48" bestFit="1" customWidth="1"/>
    <col min="34" max="34" width="28" style="48" bestFit="1" customWidth="1"/>
    <col min="35" max="35" width="26.21875" style="48" bestFit="1" customWidth="1"/>
    <col min="36" max="36" width="195.21875" style="48" customWidth="1"/>
    <col min="37" max="39" width="23.5546875" style="48" customWidth="1"/>
    <col min="40" max="42" width="23.77734375" style="48" bestFit="1" customWidth="1"/>
    <col min="43" max="43" width="27.88671875" style="48" customWidth="1"/>
    <col min="44" max="44" width="23.5546875" style="48" bestFit="1" customWidth="1"/>
    <col min="45" max="45" width="23.44140625" style="48" bestFit="1" customWidth="1"/>
    <col min="46" max="47" width="24.88671875" style="48" customWidth="1"/>
    <col min="48" max="48" width="25.109375" style="48" bestFit="1" customWidth="1"/>
    <col min="49" max="51" width="24.88671875" style="48" customWidth="1"/>
    <col min="52" max="52" width="25.109375" style="48" bestFit="1" customWidth="1"/>
    <col min="53" max="53" width="31.109375" style="48" bestFit="1" customWidth="1"/>
    <col min="54" max="54" width="37.109375" style="48" customWidth="1"/>
    <col min="55" max="55" width="35.77734375" style="48" bestFit="1" customWidth="1"/>
    <col min="56" max="56" width="41.5546875" style="48" bestFit="1" customWidth="1"/>
    <col min="57" max="57" width="37.109375" style="48" customWidth="1"/>
    <col min="58" max="58" width="31" style="48" bestFit="1" customWidth="1"/>
    <col min="59" max="59" width="25.109375" style="48" bestFit="1" customWidth="1"/>
    <col min="60" max="60" width="185.5546875" style="48" customWidth="1"/>
    <col min="61" max="61" width="22.44140625" style="48" bestFit="1" customWidth="1"/>
    <col min="62" max="70" width="28.109375" style="48" bestFit="1" customWidth="1"/>
    <col min="71" max="76" width="29.109375" style="48" bestFit="1" customWidth="1"/>
    <col min="77" max="77" width="30.77734375" style="48" customWidth="1"/>
    <col min="78" max="78" width="24.21875" style="48" bestFit="1" customWidth="1"/>
    <col min="79" max="79" width="37.21875" style="48" bestFit="1" customWidth="1"/>
    <col min="80" max="80" width="35.77734375" style="48" bestFit="1" customWidth="1"/>
    <col min="81" max="81" width="36.44140625" style="48" bestFit="1" customWidth="1"/>
    <col min="82" max="82" width="37.21875" style="48" customWidth="1"/>
    <col min="83" max="83" width="33" style="48" bestFit="1" customWidth="1"/>
    <col min="84" max="84" width="48.44140625" style="48" bestFit="1" customWidth="1"/>
    <col min="85" max="90" width="27.6640625" style="48" bestFit="1" customWidth="1"/>
    <col min="91" max="93" width="28.21875" style="48" customWidth="1"/>
    <col min="94" max="99" width="24.109375" style="48" bestFit="1" customWidth="1"/>
    <col min="100" max="101" width="24.44140625" style="48" bestFit="1" customWidth="1"/>
    <col min="102" max="102" width="22.33203125" style="48" bestFit="1" customWidth="1"/>
    <col min="103" max="103" width="20.77734375" style="48" customWidth="1"/>
    <col min="104" max="104" width="27.21875" style="48" customWidth="1"/>
    <col min="105" max="105" width="37.21875" style="48" bestFit="1" customWidth="1"/>
    <col min="106" max="106" width="33.21875" style="48" bestFit="1" customWidth="1"/>
    <col min="107" max="107" width="48.44140625" style="48" bestFit="1" customWidth="1"/>
    <col min="108" max="113" width="28.33203125" style="48" customWidth="1"/>
    <col min="114" max="114" width="36.109375" style="48" customWidth="1"/>
    <col min="115" max="115" width="28.5546875" style="48" bestFit="1" customWidth="1"/>
    <col min="116" max="116" width="29.44140625" style="48" bestFit="1" customWidth="1"/>
    <col min="117" max="122" width="29.109375" style="48" bestFit="1" customWidth="1"/>
    <col min="123" max="123" width="24.6640625" style="48" bestFit="1" customWidth="1"/>
    <col min="124" max="124" width="31" style="48" bestFit="1" customWidth="1"/>
    <col min="125" max="125" width="37.109375" style="48" bestFit="1" customWidth="1"/>
    <col min="126" max="126" width="35.77734375" style="48" bestFit="1" customWidth="1"/>
    <col min="127" max="127" width="37" style="48" customWidth="1"/>
    <col min="128" max="128" width="37.109375" style="48" customWidth="1"/>
    <col min="129" max="129" width="28.109375" style="48" bestFit="1" customWidth="1"/>
    <col min="130" max="130" width="31.21875" style="48" bestFit="1" customWidth="1"/>
    <col min="131" max="131" width="8.88671875" style="48"/>
    <col min="132" max="132" width="9.109375" style="48" bestFit="1" customWidth="1"/>
    <col min="133" max="134" width="8.88671875" style="48"/>
    <col min="135" max="135" width="50.109375" style="48" bestFit="1" customWidth="1"/>
    <col min="136" max="136" width="28.5546875" style="48" bestFit="1" customWidth="1"/>
    <col min="137" max="137" width="15.77734375" style="48" bestFit="1" customWidth="1"/>
    <col min="138" max="138" width="12.88671875" style="48" customWidth="1"/>
    <col min="139" max="146" width="8.88671875" style="48"/>
    <col min="147" max="147" width="9.5546875" style="48" bestFit="1" customWidth="1"/>
    <col min="148" max="153" width="8.88671875" style="48"/>
    <col min="154" max="154" width="9" style="48" bestFit="1" customWidth="1"/>
    <col min="155" max="155" width="8.88671875" style="48"/>
    <col min="156" max="156" width="12" style="48" bestFit="1" customWidth="1"/>
    <col min="157" max="170" width="8.88671875" style="48"/>
    <col min="171" max="171" width="35.5546875" style="48" bestFit="1" customWidth="1"/>
    <col min="172" max="172" width="28.21875" style="48" bestFit="1" customWidth="1"/>
    <col min="173" max="173" width="12" style="48" customWidth="1"/>
    <col min="174" max="174" width="13.6640625" style="48" bestFit="1" customWidth="1"/>
    <col min="175" max="175" width="12.33203125" style="48" customWidth="1"/>
    <col min="176" max="182" width="8.88671875" style="48"/>
    <col min="183" max="183" width="9.44140625" style="48" bestFit="1" customWidth="1"/>
    <col min="184" max="198" width="8.88671875" style="48"/>
    <col min="199" max="199" width="41.5546875" style="48" bestFit="1" customWidth="1"/>
    <col min="200" max="200" width="12.44140625" style="48" customWidth="1"/>
    <col min="201" max="201" width="17.33203125" style="48" customWidth="1"/>
    <col min="202" max="242" width="8.88671875" style="48"/>
    <col min="243" max="243" width="37.88671875" style="48" customWidth="1"/>
    <col min="244" max="244" width="26.77734375" style="48" bestFit="1" customWidth="1"/>
    <col min="245" max="245" width="7.77734375" style="48" customWidth="1"/>
    <col min="246" max="246" width="24.44140625" style="48" bestFit="1" customWidth="1"/>
    <col min="247" max="252" width="8.88671875" style="48"/>
    <col min="253" max="253" width="9.5546875" style="48" bestFit="1" customWidth="1"/>
    <col min="254" max="266" width="8.88671875" style="48"/>
    <col min="267" max="267" width="41.5546875" style="48" bestFit="1" customWidth="1"/>
    <col min="268" max="268" width="8.88671875" style="48"/>
    <col min="269" max="269" width="21.5546875" style="48" customWidth="1"/>
    <col min="270" max="16384" width="8.88671875" style="48"/>
  </cols>
  <sheetData>
    <row r="1" spans="1:130" ht="46.8" x14ac:dyDescent="0.3">
      <c r="B1" s="49" t="s">
        <v>484</v>
      </c>
      <c r="V1" s="144" t="s">
        <v>139</v>
      </c>
      <c r="W1" s="144"/>
      <c r="X1" s="144"/>
      <c r="Y1" s="50" t="s">
        <v>210</v>
      </c>
      <c r="AN1" s="145" t="s">
        <v>604</v>
      </c>
      <c r="AO1" s="146"/>
      <c r="AP1" s="146"/>
      <c r="AQ1" s="146"/>
      <c r="AR1" s="146"/>
      <c r="AS1" s="146"/>
      <c r="AT1" s="147"/>
      <c r="CO1" s="102"/>
    </row>
    <row r="3" spans="1:130" s="58" customFormat="1" ht="48" customHeight="1" x14ac:dyDescent="0.3">
      <c r="A3" s="51" t="s">
        <v>0</v>
      </c>
      <c r="B3" s="51" t="s">
        <v>1</v>
      </c>
      <c r="C3" s="51" t="s">
        <v>138</v>
      </c>
      <c r="D3" s="52" t="s">
        <v>85</v>
      </c>
      <c r="E3" s="52" t="s">
        <v>86</v>
      </c>
      <c r="F3" s="52" t="s">
        <v>87</v>
      </c>
      <c r="G3" s="49" t="s">
        <v>152</v>
      </c>
      <c r="H3" s="49" t="s">
        <v>153</v>
      </c>
      <c r="I3" s="49" t="s">
        <v>467</v>
      </c>
      <c r="J3" s="49" t="s">
        <v>476</v>
      </c>
      <c r="K3" s="49" t="s">
        <v>477</v>
      </c>
      <c r="L3" s="49" t="s">
        <v>478</v>
      </c>
      <c r="M3" s="49" t="s">
        <v>479</v>
      </c>
      <c r="N3" s="49" t="s">
        <v>480</v>
      </c>
      <c r="O3" s="49" t="s">
        <v>481</v>
      </c>
      <c r="P3" s="49" t="s">
        <v>482</v>
      </c>
      <c r="Q3" s="53" t="s">
        <v>483</v>
      </c>
      <c r="R3" s="52" t="s">
        <v>485</v>
      </c>
      <c r="S3" s="54" t="s">
        <v>468</v>
      </c>
      <c r="T3" s="54" t="s">
        <v>469</v>
      </c>
      <c r="U3" s="52" t="s">
        <v>470</v>
      </c>
      <c r="V3" s="52" t="s">
        <v>471</v>
      </c>
      <c r="W3" s="52" t="s">
        <v>472</v>
      </c>
      <c r="X3" s="52" t="s">
        <v>473</v>
      </c>
      <c r="Y3" s="52" t="s">
        <v>474</v>
      </c>
      <c r="Z3" s="52" t="s">
        <v>475</v>
      </c>
      <c r="AA3" s="52" t="s">
        <v>140</v>
      </c>
      <c r="AB3" s="52" t="s">
        <v>141</v>
      </c>
      <c r="AC3" s="52" t="s">
        <v>142</v>
      </c>
      <c r="AD3" s="52" t="s">
        <v>143</v>
      </c>
      <c r="AE3" s="52" t="s">
        <v>144</v>
      </c>
      <c r="AF3" s="52" t="s">
        <v>145</v>
      </c>
      <c r="AG3" s="52" t="s">
        <v>146</v>
      </c>
      <c r="AH3" s="52" t="s">
        <v>147</v>
      </c>
      <c r="AI3" s="52" t="s">
        <v>148</v>
      </c>
      <c r="AJ3" s="52" t="s">
        <v>525</v>
      </c>
      <c r="AK3" s="52" t="s">
        <v>605</v>
      </c>
      <c r="AL3" s="52" t="s">
        <v>606</v>
      </c>
      <c r="AM3" s="52" t="s">
        <v>607</v>
      </c>
      <c r="AN3" s="52" t="s">
        <v>608</v>
      </c>
      <c r="AO3" s="52" t="s">
        <v>609</v>
      </c>
      <c r="AP3" s="52" t="s">
        <v>610</v>
      </c>
      <c r="AQ3" s="52" t="s">
        <v>611</v>
      </c>
      <c r="AR3" s="52" t="s">
        <v>612</v>
      </c>
      <c r="AS3" s="52" t="s">
        <v>613</v>
      </c>
      <c r="AT3" s="52" t="s">
        <v>614</v>
      </c>
      <c r="AU3" s="52" t="s">
        <v>615</v>
      </c>
      <c r="AV3" s="52" t="s">
        <v>616</v>
      </c>
      <c r="AW3" s="52" t="s">
        <v>617</v>
      </c>
      <c r="AX3" s="52" t="s">
        <v>618</v>
      </c>
      <c r="AY3" s="52" t="s">
        <v>619</v>
      </c>
      <c r="AZ3" s="52" t="s">
        <v>620</v>
      </c>
      <c r="BA3" s="52" t="s">
        <v>621</v>
      </c>
      <c r="BB3" s="52" t="s">
        <v>622</v>
      </c>
      <c r="BC3" s="52" t="s">
        <v>623</v>
      </c>
      <c r="BD3" s="52" t="s">
        <v>624</v>
      </c>
      <c r="BE3" s="52" t="s">
        <v>625</v>
      </c>
      <c r="BF3" s="52" t="s">
        <v>499</v>
      </c>
      <c r="BG3" s="52" t="s">
        <v>498</v>
      </c>
      <c r="BH3" s="55" t="s">
        <v>150</v>
      </c>
      <c r="BI3" s="56" t="s">
        <v>179</v>
      </c>
      <c r="BJ3" s="57" t="s">
        <v>486</v>
      </c>
      <c r="BK3" s="57" t="s">
        <v>487</v>
      </c>
      <c r="BL3" s="57" t="s">
        <v>488</v>
      </c>
      <c r="BM3" s="57" t="s">
        <v>489</v>
      </c>
      <c r="BN3" s="57" t="s">
        <v>490</v>
      </c>
      <c r="BO3" s="57" t="s">
        <v>491</v>
      </c>
      <c r="BP3" s="57" t="s">
        <v>187</v>
      </c>
      <c r="BQ3" s="57" t="s">
        <v>188</v>
      </c>
      <c r="BR3" s="57" t="s">
        <v>189</v>
      </c>
      <c r="BS3" s="52" t="s">
        <v>492</v>
      </c>
      <c r="BT3" s="52" t="s">
        <v>493</v>
      </c>
      <c r="BU3" s="52" t="s">
        <v>494</v>
      </c>
      <c r="BV3" s="52" t="s">
        <v>495</v>
      </c>
      <c r="BW3" s="52" t="s">
        <v>496</v>
      </c>
      <c r="BX3" s="52" t="s">
        <v>497</v>
      </c>
      <c r="BY3" s="52" t="s">
        <v>190</v>
      </c>
      <c r="BZ3" s="52" t="s">
        <v>191</v>
      </c>
      <c r="CA3" s="52" t="s">
        <v>192</v>
      </c>
      <c r="CB3" s="52" t="s">
        <v>598</v>
      </c>
      <c r="CC3" s="52" t="s">
        <v>601</v>
      </c>
      <c r="CD3" s="52" t="s">
        <v>590</v>
      </c>
      <c r="CE3" s="52" t="s">
        <v>499</v>
      </c>
      <c r="CF3" s="52" t="s">
        <v>498</v>
      </c>
      <c r="CG3" s="57" t="s">
        <v>500</v>
      </c>
      <c r="CH3" s="57" t="s">
        <v>501</v>
      </c>
      <c r="CI3" s="57" t="s">
        <v>502</v>
      </c>
      <c r="CJ3" s="57" t="s">
        <v>503</v>
      </c>
      <c r="CK3" s="57" t="s">
        <v>504</v>
      </c>
      <c r="CL3" s="57" t="s">
        <v>505</v>
      </c>
      <c r="CM3" s="57" t="s">
        <v>193</v>
      </c>
      <c r="CN3" s="57" t="s">
        <v>194</v>
      </c>
      <c r="CO3" s="57" t="s">
        <v>195</v>
      </c>
      <c r="CP3" s="52" t="s">
        <v>506</v>
      </c>
      <c r="CQ3" s="52" t="s">
        <v>507</v>
      </c>
      <c r="CR3" s="52" t="s">
        <v>508</v>
      </c>
      <c r="CS3" s="52" t="s">
        <v>509</v>
      </c>
      <c r="CT3" s="52" t="s">
        <v>510</v>
      </c>
      <c r="CU3" s="52" t="s">
        <v>511</v>
      </c>
      <c r="CV3" s="52" t="s">
        <v>196</v>
      </c>
      <c r="CW3" s="52" t="s">
        <v>197</v>
      </c>
      <c r="CX3" s="52" t="s">
        <v>198</v>
      </c>
      <c r="CY3" s="52" t="s">
        <v>599</v>
      </c>
      <c r="CZ3" s="52" t="s">
        <v>602</v>
      </c>
      <c r="DA3" s="52" t="s">
        <v>591</v>
      </c>
      <c r="DB3" s="52" t="s">
        <v>499</v>
      </c>
      <c r="DC3" s="52" t="s">
        <v>498</v>
      </c>
      <c r="DD3" s="57" t="s">
        <v>512</v>
      </c>
      <c r="DE3" s="57" t="s">
        <v>513</v>
      </c>
      <c r="DF3" s="57" t="s">
        <v>514</v>
      </c>
      <c r="DG3" s="57" t="s">
        <v>515</v>
      </c>
      <c r="DH3" s="57" t="s">
        <v>516</v>
      </c>
      <c r="DI3" s="57" t="s">
        <v>517</v>
      </c>
      <c r="DJ3" s="57" t="s">
        <v>199</v>
      </c>
      <c r="DK3" s="57" t="s">
        <v>200</v>
      </c>
      <c r="DL3" s="57" t="s">
        <v>201</v>
      </c>
      <c r="DM3" s="52" t="s">
        <v>518</v>
      </c>
      <c r="DN3" s="52" t="s">
        <v>519</v>
      </c>
      <c r="DO3" s="52" t="s">
        <v>520</v>
      </c>
      <c r="DP3" s="52" t="s">
        <v>521</v>
      </c>
      <c r="DQ3" s="52" t="s">
        <v>522</v>
      </c>
      <c r="DR3" s="52" t="s">
        <v>523</v>
      </c>
      <c r="DS3" s="52" t="s">
        <v>202</v>
      </c>
      <c r="DT3" s="52" t="s">
        <v>203</v>
      </c>
      <c r="DU3" s="52" t="s">
        <v>204</v>
      </c>
      <c r="DV3" s="52" t="s">
        <v>600</v>
      </c>
      <c r="DW3" s="52" t="s">
        <v>603</v>
      </c>
      <c r="DX3" s="52" t="s">
        <v>592</v>
      </c>
      <c r="DY3" s="52" t="s">
        <v>499</v>
      </c>
      <c r="DZ3" s="52" t="s">
        <v>498</v>
      </c>
    </row>
    <row r="4" spans="1:130" x14ac:dyDescent="0.3">
      <c r="A4" s="59" t="s">
        <v>2</v>
      </c>
      <c r="B4" s="60" t="s">
        <v>3</v>
      </c>
      <c r="C4" s="60" t="s">
        <v>90</v>
      </c>
      <c r="D4" s="60">
        <v>2007001678</v>
      </c>
      <c r="E4" s="60" t="s">
        <v>88</v>
      </c>
      <c r="F4" s="48">
        <v>387</v>
      </c>
      <c r="G4" s="61">
        <v>0</v>
      </c>
      <c r="H4" s="61">
        <v>1524</v>
      </c>
      <c r="I4" s="62">
        <v>0</v>
      </c>
      <c r="J4" s="62">
        <v>5029.5</v>
      </c>
      <c r="K4" s="62">
        <f>J4+I4</f>
        <v>5029.5</v>
      </c>
      <c r="L4" s="62">
        <v>0</v>
      </c>
      <c r="M4" s="62">
        <v>2633.7</v>
      </c>
      <c r="N4" s="62">
        <f>M4+L4</f>
        <v>2633.7</v>
      </c>
      <c r="O4" s="62">
        <v>0</v>
      </c>
      <c r="P4" s="62">
        <v>683.9</v>
      </c>
      <c r="Q4" s="62">
        <f>P4+O4</f>
        <v>683.9</v>
      </c>
      <c r="R4" s="62">
        <v>0</v>
      </c>
      <c r="S4" s="62">
        <v>390.4</v>
      </c>
      <c r="T4" s="62">
        <f>R4+S4</f>
        <v>390.4</v>
      </c>
      <c r="U4" s="62">
        <v>0</v>
      </c>
      <c r="V4" s="62">
        <v>503.98</v>
      </c>
      <c r="W4" s="62">
        <f>U4+V4</f>
        <v>503.98</v>
      </c>
      <c r="X4" s="62">
        <v>0</v>
      </c>
      <c r="Y4" s="62">
        <v>2734.81</v>
      </c>
      <c r="Z4" s="62">
        <f>X4+Y4</f>
        <v>2734.81</v>
      </c>
      <c r="AA4" s="63">
        <v>0</v>
      </c>
      <c r="AB4" s="62">
        <v>2512.9969999999998</v>
      </c>
      <c r="AC4" s="62">
        <f>AB4+AA4</f>
        <v>2512.9969999999998</v>
      </c>
      <c r="AD4" s="62">
        <v>0</v>
      </c>
      <c r="AE4" s="62">
        <v>1522.2739999999999</v>
      </c>
      <c r="AF4" s="62">
        <f>AE4+AD4</f>
        <v>1522.2739999999999</v>
      </c>
      <c r="AG4" s="62">
        <v>0</v>
      </c>
      <c r="AH4" s="62">
        <v>1982.2049999999999</v>
      </c>
      <c r="AI4" s="62">
        <f>AH4+AG4</f>
        <v>1982.2049999999999</v>
      </c>
      <c r="AJ4" s="64" t="s">
        <v>524</v>
      </c>
      <c r="AK4" s="65">
        <v>1920900</v>
      </c>
      <c r="AL4" s="65">
        <v>1037100</v>
      </c>
      <c r="AM4" s="65">
        <v>301800</v>
      </c>
      <c r="AN4" s="65">
        <v>178500</v>
      </c>
      <c r="AO4" s="65">
        <v>227500</v>
      </c>
      <c r="AP4" s="65">
        <v>1054800</v>
      </c>
      <c r="AQ4" s="65" t="s">
        <v>151</v>
      </c>
      <c r="AR4" s="65" t="s">
        <v>151</v>
      </c>
      <c r="AS4" s="65" t="s">
        <v>151</v>
      </c>
      <c r="AT4" s="66">
        <f>AK4/K4</f>
        <v>381.92663286609007</v>
      </c>
      <c r="AU4" s="66">
        <f>AL4/N4</f>
        <v>393.78061282606222</v>
      </c>
      <c r="AV4" s="66">
        <f>AM4/Q4</f>
        <v>441.29258663547301</v>
      </c>
      <c r="AW4" s="66">
        <f>AN4/T4</f>
        <v>457.22336065573774</v>
      </c>
      <c r="AX4" s="66">
        <f>AO4/W4</f>
        <v>451.40680185721652</v>
      </c>
      <c r="AY4" s="66">
        <f>AP4/Z4</f>
        <v>385.69407015478225</v>
      </c>
      <c r="AZ4" s="67">
        <v>368.88</v>
      </c>
      <c r="BA4" s="67">
        <v>419.89</v>
      </c>
      <c r="BB4" s="67">
        <v>412.3</v>
      </c>
      <c r="BC4" s="68">
        <f>SUM(AK4:AS4)</f>
        <v>4720600</v>
      </c>
      <c r="BD4" s="68">
        <f>(SUM(AT4:BB4))/9</f>
        <v>412.48822944392913</v>
      </c>
      <c r="BE4" s="68">
        <f t="shared" ref="BE4:BE39" si="0">BB4-AT4</f>
        <v>30.373367133909937</v>
      </c>
      <c r="BF4" s="69">
        <f>(BB4/AT4)-1</f>
        <v>7.952670623145397E-2</v>
      </c>
      <c r="BG4" s="70" t="str" cm="1">
        <f t="array" ref="BG4">_xlfn.IFS(BF4&gt;0%,"Incremento",BF4=0%,"Stazionarietà",BF4&lt;0%,"Diminuzione")</f>
        <v>Incremento</v>
      </c>
      <c r="BH4" s="71" t="s">
        <v>526</v>
      </c>
      <c r="BI4" s="72" t="s">
        <v>180</v>
      </c>
      <c r="BJ4" s="73">
        <v>596</v>
      </c>
      <c r="BK4" s="73">
        <v>331</v>
      </c>
      <c r="BL4" s="73">
        <v>94</v>
      </c>
      <c r="BM4" s="74">
        <v>50</v>
      </c>
      <c r="BN4" s="74">
        <v>68</v>
      </c>
      <c r="BO4" s="74">
        <v>364</v>
      </c>
      <c r="BP4" s="73" t="s">
        <v>151</v>
      </c>
      <c r="BQ4" s="73" t="s">
        <v>151</v>
      </c>
      <c r="BR4" s="73" t="s">
        <v>151</v>
      </c>
      <c r="BS4" s="62">
        <f>BJ4/K4</f>
        <v>0.11850084501441495</v>
      </c>
      <c r="BT4" s="62">
        <f>BK4/N4</f>
        <v>0.12567870296540989</v>
      </c>
      <c r="BU4" s="62">
        <f>BL4/Q4</f>
        <v>0.13744699517473316</v>
      </c>
      <c r="BV4" s="62">
        <f>BM4/T4</f>
        <v>0.1280737704918033</v>
      </c>
      <c r="BW4" s="62">
        <f>BN4/W4</f>
        <v>0.13492598912655263</v>
      </c>
      <c r="BX4" s="62">
        <f>BO4/Z4</f>
        <v>0.13309882587821459</v>
      </c>
      <c r="BY4" s="62">
        <v>0.13</v>
      </c>
      <c r="BZ4" s="62">
        <v>0.14000000000000001</v>
      </c>
      <c r="CA4" s="62">
        <v>0.14000000000000001</v>
      </c>
      <c r="CB4" s="62">
        <f>SUM(BJ4:BR4)</f>
        <v>1503</v>
      </c>
      <c r="CC4" s="62">
        <f t="shared" ref="CC4:CC13" si="1">(SUM(BS4:CA4))/9</f>
        <v>0.13196945873901431</v>
      </c>
      <c r="CD4" s="75">
        <f>CA4-BS4</f>
        <v>2.1499154985585064E-2</v>
      </c>
      <c r="CE4" s="69">
        <f>(CA4/BS4)-1</f>
        <v>0.18142617449664433</v>
      </c>
      <c r="CF4" s="70" t="str" cm="1">
        <f t="array" ref="CF4">_xlfn.IFS(CE4&gt;0%,"Incremento",CE4=0%,"Stazionarietà",CE4&lt;0%,"Diminuzione")</f>
        <v>Incremento</v>
      </c>
      <c r="CG4" s="73">
        <v>41</v>
      </c>
      <c r="CH4" s="73">
        <v>32</v>
      </c>
      <c r="CI4" s="73">
        <v>18</v>
      </c>
      <c r="CJ4" s="74">
        <v>6</v>
      </c>
      <c r="CK4" s="74">
        <v>10</v>
      </c>
      <c r="CL4" s="74">
        <v>40</v>
      </c>
      <c r="CM4" s="73" t="s">
        <v>151</v>
      </c>
      <c r="CN4" s="73" t="s">
        <v>151</v>
      </c>
      <c r="CO4" s="73" t="s">
        <v>151</v>
      </c>
      <c r="CP4" s="73">
        <f>CG4/K4</f>
        <v>8.1519037677701568E-3</v>
      </c>
      <c r="CQ4" s="73">
        <f>CH4/N4</f>
        <v>1.2150206933211833E-2</v>
      </c>
      <c r="CR4" s="73">
        <f>CI4/Q4</f>
        <v>2.6319637373885072E-2</v>
      </c>
      <c r="CS4" s="73">
        <f>CJ4/T4</f>
        <v>1.5368852459016395E-2</v>
      </c>
      <c r="CT4" s="73">
        <f>CK4/W4</f>
        <v>1.9842057224493035E-2</v>
      </c>
      <c r="CU4" s="73">
        <f>CL4/Z4</f>
        <v>1.4626244602001601E-2</v>
      </c>
      <c r="CV4" s="73">
        <v>1.3299999999999999E-2</v>
      </c>
      <c r="CW4" s="73">
        <v>1.9099999999999999E-2</v>
      </c>
      <c r="CX4" s="73">
        <v>2.5999999999999999E-2</v>
      </c>
      <c r="CY4" s="73">
        <f>SUM(CG4:CO4)</f>
        <v>147</v>
      </c>
      <c r="CZ4" s="73">
        <f t="shared" ref="CZ4:CZ11" si="2">(SUM(CP4:CX4))/9</f>
        <v>1.7206544706708675E-2</v>
      </c>
      <c r="DA4" s="74">
        <f>CX4-CP4</f>
        <v>1.784809623222984E-2</v>
      </c>
      <c r="DB4" s="69">
        <f>(CX4/CP4)-1</f>
        <v>2.1894390243902433</v>
      </c>
      <c r="DC4" s="70" t="str" cm="1">
        <f t="array" ref="DC4">_xlfn.IFS(DB4&gt;0%,"Incremento",DB4=0%,"Stazionarietà",DB4&lt;0%,"Diminuzione")</f>
        <v>Incremento</v>
      </c>
      <c r="DD4" s="73" t="s">
        <v>151</v>
      </c>
      <c r="DE4" s="73" t="s">
        <v>151</v>
      </c>
      <c r="DF4" s="73" t="s">
        <v>151</v>
      </c>
      <c r="DG4" s="74" t="s">
        <v>151</v>
      </c>
      <c r="DH4" s="74" t="s">
        <v>151</v>
      </c>
      <c r="DI4" s="74" t="s">
        <v>151</v>
      </c>
      <c r="DJ4" s="73" t="s">
        <v>151</v>
      </c>
      <c r="DK4" s="73" t="s">
        <v>151</v>
      </c>
      <c r="DL4" s="73" t="s">
        <v>151</v>
      </c>
      <c r="DM4" s="73" t="s">
        <v>151</v>
      </c>
      <c r="DN4" s="73" t="s">
        <v>151</v>
      </c>
      <c r="DO4" s="73" t="s">
        <v>151</v>
      </c>
      <c r="DP4" s="73" t="s">
        <v>151</v>
      </c>
      <c r="DQ4" s="73" t="s">
        <v>151</v>
      </c>
      <c r="DR4" s="73" t="s">
        <v>151</v>
      </c>
      <c r="DS4" s="73" t="s">
        <v>151</v>
      </c>
      <c r="DT4" s="73" t="s">
        <v>151</v>
      </c>
      <c r="DU4" s="73" t="s">
        <v>151</v>
      </c>
      <c r="DV4" s="73">
        <f>SUM(DD4:DL4)</f>
        <v>0</v>
      </c>
      <c r="DW4" s="73">
        <f>(SUM(DM4:DU4))/9</f>
        <v>0</v>
      </c>
      <c r="DX4" s="68" t="s">
        <v>151</v>
      </c>
      <c r="DY4" s="70" t="s">
        <v>151</v>
      </c>
      <c r="DZ4" s="76" t="s">
        <v>151</v>
      </c>
    </row>
    <row r="5" spans="1:130" ht="31.2" x14ac:dyDescent="0.3">
      <c r="A5" s="77" t="s">
        <v>4</v>
      </c>
      <c r="B5" s="78" t="s">
        <v>5</v>
      </c>
      <c r="C5" s="78" t="s">
        <v>91</v>
      </c>
      <c r="D5" s="78">
        <v>2007001074</v>
      </c>
      <c r="E5" s="78" t="s">
        <v>89</v>
      </c>
      <c r="F5" s="48">
        <v>986</v>
      </c>
      <c r="G5" s="61">
        <v>33</v>
      </c>
      <c r="H5" s="61">
        <v>760</v>
      </c>
      <c r="I5" s="62">
        <v>0</v>
      </c>
      <c r="J5" s="62">
        <v>2500</v>
      </c>
      <c r="K5" s="62">
        <f t="shared" ref="K5:K49" si="3">J5+I5</f>
        <v>2500</v>
      </c>
      <c r="L5" s="62">
        <v>0</v>
      </c>
      <c r="M5" s="62">
        <v>1450</v>
      </c>
      <c r="N5" s="62">
        <f t="shared" ref="N5:N49" si="4">M5+L5</f>
        <v>1450</v>
      </c>
      <c r="O5" s="62">
        <v>22</v>
      </c>
      <c r="P5" s="62">
        <v>800</v>
      </c>
      <c r="Q5" s="62">
        <f t="shared" ref="Q5:Q49" si="5">P5+O5</f>
        <v>822</v>
      </c>
      <c r="R5" s="62">
        <v>18</v>
      </c>
      <c r="S5" s="62">
        <v>680</v>
      </c>
      <c r="T5" s="62">
        <f t="shared" ref="T5:T52" si="6">R5+S5</f>
        <v>698</v>
      </c>
      <c r="U5" s="62">
        <v>23</v>
      </c>
      <c r="V5" s="62">
        <v>590</v>
      </c>
      <c r="W5" s="62">
        <f t="shared" ref="W5:W52" si="7">U5+V5</f>
        <v>613</v>
      </c>
      <c r="X5" s="62">
        <v>24</v>
      </c>
      <c r="Y5" s="62">
        <v>760</v>
      </c>
      <c r="Z5" s="62">
        <f t="shared" ref="Z5:Z46" si="8">X5+Y5</f>
        <v>784</v>
      </c>
      <c r="AA5" s="62">
        <v>0</v>
      </c>
      <c r="AB5" s="62">
        <v>1553.06</v>
      </c>
      <c r="AC5" s="62">
        <f t="shared" ref="AC5:AC52" si="9">AB5+AA5</f>
        <v>1553.06</v>
      </c>
      <c r="AD5" s="62">
        <v>0</v>
      </c>
      <c r="AE5" s="62">
        <v>1325.057</v>
      </c>
      <c r="AF5" s="62">
        <f>AE5+AD5</f>
        <v>1325.057</v>
      </c>
      <c r="AG5" s="62">
        <v>0</v>
      </c>
      <c r="AH5" s="62">
        <v>1317.9570000000001</v>
      </c>
      <c r="AI5" s="62">
        <f t="shared" ref="AI5:AI52" si="10">AH5+AG5</f>
        <v>1317.9570000000001</v>
      </c>
      <c r="AJ5" s="64" t="s">
        <v>574</v>
      </c>
      <c r="AK5" s="65">
        <v>980000</v>
      </c>
      <c r="AL5" s="65">
        <v>570000</v>
      </c>
      <c r="AM5" s="65">
        <v>330000</v>
      </c>
      <c r="AN5" s="79">
        <v>290000</v>
      </c>
      <c r="AO5" s="79">
        <v>260000</v>
      </c>
      <c r="AP5" s="79">
        <v>320000</v>
      </c>
      <c r="AQ5" s="65">
        <v>629547</v>
      </c>
      <c r="AR5" s="65">
        <v>542720</v>
      </c>
      <c r="AS5" s="65">
        <v>528601</v>
      </c>
      <c r="AT5" s="66">
        <f t="shared" ref="AT5:AT49" si="11">AK5/K5</f>
        <v>392</v>
      </c>
      <c r="AU5" s="66">
        <f t="shared" ref="AU5:AU49" si="12">AL5/N5</f>
        <v>393.10344827586209</v>
      </c>
      <c r="AV5" s="66">
        <f t="shared" ref="AV5:AV50" si="13">AM5/Q5</f>
        <v>401.45985401459853</v>
      </c>
      <c r="AW5" s="66">
        <f t="shared" ref="AW5:AW52" si="14">AN5/T5</f>
        <v>415.47277936962752</v>
      </c>
      <c r="AX5" s="66">
        <f t="shared" ref="AX5:AX52" si="15">AO5/W5</f>
        <v>424.14355628058729</v>
      </c>
      <c r="AY5" s="66">
        <f t="shared" ref="AY5:AY52" si="16">AP5/Z5</f>
        <v>408.16326530612247</v>
      </c>
      <c r="AZ5" s="66">
        <f>AQ5/AC5</f>
        <v>405.35909752359856</v>
      </c>
      <c r="BA5" s="66">
        <f>AR5/AF5</f>
        <v>409.58238022968067</v>
      </c>
      <c r="BB5" s="66">
        <f>AS5/AI5</f>
        <v>401.07605938585249</v>
      </c>
      <c r="BC5" s="68">
        <f t="shared" ref="BC5:BC52" si="17">SUM(AK5:AS5)</f>
        <v>4450868</v>
      </c>
      <c r="BD5" s="68">
        <f t="shared" ref="BD5:BD49" si="18">(SUM(AT5:BB5))/9</f>
        <v>405.59560448732549</v>
      </c>
      <c r="BE5" s="68">
        <f t="shared" si="0"/>
        <v>9.0760593858524885</v>
      </c>
      <c r="BF5" s="69">
        <f t="shared" ref="BF5:BF49" si="19">(BB5/AT5)-1</f>
        <v>2.3153212719011496E-2</v>
      </c>
      <c r="BG5" s="70" t="str" cm="1">
        <f t="array" ref="BG5">_xlfn.IFS(BF5&gt;0%,"Incremento",BF5=0%,"Stazionarietà",BF5&lt;0%,"Diminuzione")</f>
        <v>Incremento</v>
      </c>
      <c r="BH5" s="71" t="s">
        <v>527</v>
      </c>
      <c r="BI5" s="72" t="s">
        <v>182</v>
      </c>
      <c r="BJ5" s="73">
        <v>280</v>
      </c>
      <c r="BK5" s="73">
        <v>170</v>
      </c>
      <c r="BL5" s="73">
        <v>110</v>
      </c>
      <c r="BM5" s="74">
        <v>105</v>
      </c>
      <c r="BN5" s="74">
        <v>88</v>
      </c>
      <c r="BO5" s="74">
        <v>101</v>
      </c>
      <c r="BP5" s="73">
        <v>174</v>
      </c>
      <c r="BQ5" s="73">
        <v>150</v>
      </c>
      <c r="BR5" s="73">
        <v>169</v>
      </c>
      <c r="BS5" s="62">
        <f t="shared" ref="BS5:BS49" si="20">BJ5/K5</f>
        <v>0.112</v>
      </c>
      <c r="BT5" s="62">
        <f t="shared" ref="BT5:BT49" si="21">BK5/N5</f>
        <v>0.11724137931034483</v>
      </c>
      <c r="BU5" s="62">
        <f t="shared" ref="BU5:BU50" si="22">BL5/Q5</f>
        <v>0.13381995133819952</v>
      </c>
      <c r="BV5" s="62">
        <f t="shared" ref="BV5:BV52" si="23">BM5/T5</f>
        <v>0.1504297994269341</v>
      </c>
      <c r="BW5" s="62">
        <f t="shared" ref="BW5:BW52" si="24">BN5/W5</f>
        <v>0.14355628058727568</v>
      </c>
      <c r="BX5" s="62">
        <f t="shared" ref="BX5:BX52" si="25">BO5/Z5</f>
        <v>0.12882653061224489</v>
      </c>
      <c r="BY5" s="62">
        <f>BP5/AC5</f>
        <v>0.11203688202645101</v>
      </c>
      <c r="BZ5" s="62">
        <f>BQ5/AF5</f>
        <v>0.11320267731878704</v>
      </c>
      <c r="CA5" s="62">
        <f>BR5/AI5</f>
        <v>0.12822876618888171</v>
      </c>
      <c r="CB5" s="62">
        <f t="shared" ref="CB5:CB52" si="26">SUM(BJ5:BR5)</f>
        <v>1347</v>
      </c>
      <c r="CC5" s="62">
        <f t="shared" si="1"/>
        <v>0.12659358520101319</v>
      </c>
      <c r="CD5" s="75">
        <f t="shared" ref="CD5:CD49" si="27">CA5-BS5</f>
        <v>1.6228766188881708E-2</v>
      </c>
      <c r="CE5" s="69">
        <f t="shared" ref="CE5:CE27" si="28">(CA5/BS5)-1</f>
        <v>0.14489969811501524</v>
      </c>
      <c r="CF5" s="70" t="str" cm="1">
        <f t="array" ref="CF5">_xlfn.IFS(CE5&gt;0%,"Incremento",CE5=0%,"Stazionarietà",CE5&lt;0%,"Diminuzione")</f>
        <v>Incremento</v>
      </c>
      <c r="CG5" s="73">
        <v>20</v>
      </c>
      <c r="CH5" s="73">
        <v>15</v>
      </c>
      <c r="CI5" s="73">
        <v>12</v>
      </c>
      <c r="CJ5" s="74">
        <v>10</v>
      </c>
      <c r="CK5" s="74">
        <v>8</v>
      </c>
      <c r="CL5" s="74">
        <v>5</v>
      </c>
      <c r="CM5" s="73">
        <v>8</v>
      </c>
      <c r="CN5" s="73">
        <v>5</v>
      </c>
      <c r="CO5" s="73">
        <v>25.8</v>
      </c>
      <c r="CP5" s="73">
        <f t="shared" ref="CP5:CP49" si="29">CG5/K5</f>
        <v>8.0000000000000002E-3</v>
      </c>
      <c r="CQ5" s="73">
        <f t="shared" ref="CQ5:CQ49" si="30">CH5/N5</f>
        <v>1.0344827586206896E-2</v>
      </c>
      <c r="CR5" s="73">
        <f t="shared" ref="CR5:CR50" si="31">CI5/Q5</f>
        <v>1.4598540145985401E-2</v>
      </c>
      <c r="CS5" s="73">
        <f t="shared" ref="CS5:CS52" si="32">CJ5/T5</f>
        <v>1.4326647564469915E-2</v>
      </c>
      <c r="CT5" s="73">
        <f t="shared" ref="CT5:CT52" si="33">CK5/W5</f>
        <v>1.3050570962479609E-2</v>
      </c>
      <c r="CU5" s="73">
        <f t="shared" ref="CU5:CU52" si="34">CL5/Z5</f>
        <v>6.3775510204081634E-3</v>
      </c>
      <c r="CV5" s="73">
        <f>CM5/AC5</f>
        <v>5.1511210127103916E-3</v>
      </c>
      <c r="CW5" s="73">
        <f>CN5/AF5</f>
        <v>3.7734225772929012E-3</v>
      </c>
      <c r="CX5" s="73">
        <f>CO5/AI5</f>
        <v>1.9575752471438747E-2</v>
      </c>
      <c r="CY5" s="73">
        <f t="shared" ref="CY5:CY51" si="35">SUM(CG5:CO5)</f>
        <v>108.8</v>
      </c>
      <c r="CZ5" s="73">
        <f t="shared" si="2"/>
        <v>1.0577603704554671E-2</v>
      </c>
      <c r="DA5" s="74">
        <f t="shared" ref="DA5:DA49" si="36">CX5-CP5</f>
        <v>1.1575752471438747E-2</v>
      </c>
      <c r="DB5" s="69">
        <f>(CX5/CP5)-1</f>
        <v>1.4469690589298434</v>
      </c>
      <c r="DC5" s="70" t="str" cm="1">
        <f t="array" ref="DC5">_xlfn.IFS(DB5&gt;0%,"Incremento",DB5=0%,"Stazionarietà",DB5&lt;0%,"Diminuzione")</f>
        <v>Incremento</v>
      </c>
      <c r="DD5" s="73" t="s">
        <v>151</v>
      </c>
      <c r="DE5" s="73" t="s">
        <v>151</v>
      </c>
      <c r="DF5" s="73" t="s">
        <v>151</v>
      </c>
      <c r="DG5" s="74" t="s">
        <v>151</v>
      </c>
      <c r="DH5" s="74" t="s">
        <v>151</v>
      </c>
      <c r="DI5" s="74" t="s">
        <v>151</v>
      </c>
      <c r="DJ5" s="73" t="s">
        <v>151</v>
      </c>
      <c r="DK5" s="73" t="s">
        <v>151</v>
      </c>
      <c r="DL5" s="73" t="s">
        <v>151</v>
      </c>
      <c r="DM5" s="73" t="s">
        <v>151</v>
      </c>
      <c r="DN5" s="73" t="s">
        <v>151</v>
      </c>
      <c r="DO5" s="73" t="s">
        <v>151</v>
      </c>
      <c r="DP5" s="73" t="s">
        <v>151</v>
      </c>
      <c r="DQ5" s="73" t="s">
        <v>151</v>
      </c>
      <c r="DR5" s="73" t="s">
        <v>151</v>
      </c>
      <c r="DS5" s="73" t="s">
        <v>151</v>
      </c>
      <c r="DT5" s="73" t="s">
        <v>151</v>
      </c>
      <c r="DU5" s="73" t="s">
        <v>151</v>
      </c>
      <c r="DV5" s="73">
        <f>SUM(DD5:DL5)</f>
        <v>0</v>
      </c>
      <c r="DW5" s="73">
        <f t="shared" ref="DW5:DW52" si="37">(SUM(DM5:DU5))/9</f>
        <v>0</v>
      </c>
      <c r="DX5" s="68" t="s">
        <v>151</v>
      </c>
      <c r="DY5" s="70" t="s">
        <v>151</v>
      </c>
      <c r="DZ5" s="70" t="s">
        <v>151</v>
      </c>
    </row>
    <row r="6" spans="1:130" x14ac:dyDescent="0.3">
      <c r="A6" s="78" t="s">
        <v>6</v>
      </c>
      <c r="B6" s="78" t="s">
        <v>7</v>
      </c>
      <c r="C6" s="78" t="s">
        <v>92</v>
      </c>
      <c r="D6" s="78">
        <v>2007001685</v>
      </c>
      <c r="E6" s="78" t="s">
        <v>89</v>
      </c>
      <c r="F6" s="48">
        <v>667</v>
      </c>
      <c r="G6" s="61">
        <v>0</v>
      </c>
      <c r="H6" s="61">
        <v>1980</v>
      </c>
      <c r="I6" s="62">
        <v>0</v>
      </c>
      <c r="J6" s="62">
        <v>11603.02</v>
      </c>
      <c r="K6" s="62">
        <f t="shared" si="3"/>
        <v>11603.02</v>
      </c>
      <c r="L6" s="62">
        <v>0</v>
      </c>
      <c r="M6" s="62">
        <v>12474.924000000001</v>
      </c>
      <c r="N6" s="62">
        <f t="shared" si="4"/>
        <v>12474.924000000001</v>
      </c>
      <c r="O6" s="62">
        <v>0</v>
      </c>
      <c r="P6" s="62">
        <v>11227.384</v>
      </c>
      <c r="Q6" s="62">
        <f t="shared" si="5"/>
        <v>11227.384</v>
      </c>
      <c r="R6" s="62">
        <v>0</v>
      </c>
      <c r="S6" s="62">
        <v>12440.326999999999</v>
      </c>
      <c r="T6" s="62">
        <f t="shared" si="6"/>
        <v>12440.326999999999</v>
      </c>
      <c r="U6" s="62">
        <v>0</v>
      </c>
      <c r="V6" s="62">
        <v>12002.727999999999</v>
      </c>
      <c r="W6" s="62">
        <f t="shared" si="7"/>
        <v>12002.727999999999</v>
      </c>
      <c r="X6" s="62">
        <v>0</v>
      </c>
      <c r="Y6" s="62">
        <v>11446</v>
      </c>
      <c r="Z6" s="62">
        <f t="shared" si="8"/>
        <v>11446</v>
      </c>
      <c r="AA6" s="62">
        <v>0</v>
      </c>
      <c r="AB6" s="62">
        <v>11055</v>
      </c>
      <c r="AC6" s="62">
        <f t="shared" si="9"/>
        <v>11055</v>
      </c>
      <c r="AD6" s="62">
        <v>0</v>
      </c>
      <c r="AE6" s="62">
        <v>8720</v>
      </c>
      <c r="AF6" s="62">
        <f t="shared" ref="AF6:AF51" si="38">AE6+AD6</f>
        <v>8720</v>
      </c>
      <c r="AG6" s="62">
        <v>0</v>
      </c>
      <c r="AH6" s="62">
        <v>4379</v>
      </c>
      <c r="AI6" s="62">
        <f t="shared" si="10"/>
        <v>4379</v>
      </c>
      <c r="AJ6" s="64" t="s">
        <v>529</v>
      </c>
      <c r="AK6" s="65">
        <v>9745749</v>
      </c>
      <c r="AL6" s="65">
        <v>10426118</v>
      </c>
      <c r="AM6" s="65">
        <v>9726013</v>
      </c>
      <c r="AN6" s="79">
        <v>10892368</v>
      </c>
      <c r="AO6" s="79">
        <v>10736213</v>
      </c>
      <c r="AP6" s="79">
        <v>10181950</v>
      </c>
      <c r="AQ6" s="65">
        <v>9747838</v>
      </c>
      <c r="AR6" s="65">
        <v>8081026</v>
      </c>
      <c r="AS6" s="65">
        <v>4505200</v>
      </c>
      <c r="AT6" s="66">
        <f t="shared" si="11"/>
        <v>839.93210388329931</v>
      </c>
      <c r="AU6" s="66">
        <f t="shared" si="12"/>
        <v>835.7660535647351</v>
      </c>
      <c r="AV6" s="66">
        <f t="shared" si="13"/>
        <v>866.27597310290628</v>
      </c>
      <c r="AW6" s="66">
        <f t="shared" si="14"/>
        <v>875.56926759240332</v>
      </c>
      <c r="AX6" s="66">
        <f t="shared" si="15"/>
        <v>894.48107130312383</v>
      </c>
      <c r="AY6" s="66">
        <f t="shared" si="16"/>
        <v>889.5640398392452</v>
      </c>
      <c r="AZ6" s="66">
        <f t="shared" ref="AZ6:AZ7" si="39">AQ6/AC6</f>
        <v>881.75829941203074</v>
      </c>
      <c r="BA6" s="66">
        <f t="shared" ref="BA6:BA7" si="40">AR6/AF6</f>
        <v>926.72316513761473</v>
      </c>
      <c r="BB6" s="66">
        <f t="shared" ref="BB6:BB7" si="41">AS6/AI6</f>
        <v>1028.8193651518611</v>
      </c>
      <c r="BC6" s="68">
        <f t="shared" si="17"/>
        <v>84042475</v>
      </c>
      <c r="BD6" s="68">
        <f t="shared" si="18"/>
        <v>893.20992655413545</v>
      </c>
      <c r="BE6" s="68">
        <f t="shared" si="0"/>
        <v>188.88726126856182</v>
      </c>
      <c r="BF6" s="69">
        <f t="shared" si="19"/>
        <v>0.22488396430529334</v>
      </c>
      <c r="BG6" s="70" t="str" cm="1">
        <f t="array" ref="BG6">_xlfn.IFS(BF6&gt;0%,"Incremento",BF6=0%,"Stazionarietà",BF6&lt;0%,"Diminuzione")</f>
        <v>Incremento</v>
      </c>
      <c r="BH6" s="71" t="s">
        <v>528</v>
      </c>
      <c r="BI6" s="72" t="s">
        <v>181</v>
      </c>
      <c r="BJ6" s="73">
        <v>2971</v>
      </c>
      <c r="BK6" s="73">
        <v>3285</v>
      </c>
      <c r="BL6" s="73">
        <v>2868</v>
      </c>
      <c r="BM6" s="74">
        <v>3275</v>
      </c>
      <c r="BN6" s="74">
        <v>2994</v>
      </c>
      <c r="BO6" s="74">
        <v>2715</v>
      </c>
      <c r="BP6" s="73">
        <v>2519</v>
      </c>
      <c r="BQ6" s="73">
        <v>2088</v>
      </c>
      <c r="BR6" s="73">
        <v>1141</v>
      </c>
      <c r="BS6" s="62">
        <f t="shared" si="20"/>
        <v>0.25605402731357868</v>
      </c>
      <c r="BT6" s="62">
        <f t="shared" si="21"/>
        <v>0.26332825755090772</v>
      </c>
      <c r="BU6" s="62">
        <f t="shared" si="22"/>
        <v>0.25544686099629266</v>
      </c>
      <c r="BV6" s="62">
        <f t="shared" si="23"/>
        <v>0.26325674558233075</v>
      </c>
      <c r="BW6" s="62">
        <f t="shared" si="24"/>
        <v>0.2494432932246736</v>
      </c>
      <c r="BX6" s="62">
        <f t="shared" si="25"/>
        <v>0.23720076882753802</v>
      </c>
      <c r="BY6" s="62">
        <f t="shared" ref="BY6" si="42">BP6/AC6</f>
        <v>0.22786069651741295</v>
      </c>
      <c r="BZ6" s="62">
        <f t="shared" ref="BZ6:BZ7" si="43">BQ6/AF6</f>
        <v>0.23944954128440368</v>
      </c>
      <c r="CA6" s="62">
        <f t="shared" ref="CA6" si="44">BR6/AI6</f>
        <v>0.26056177209408543</v>
      </c>
      <c r="CB6" s="62">
        <f t="shared" si="26"/>
        <v>23856</v>
      </c>
      <c r="CC6" s="62">
        <f t="shared" si="1"/>
        <v>0.25028910704346929</v>
      </c>
      <c r="CD6" s="75">
        <f t="shared" si="27"/>
        <v>4.5077447805067505E-3</v>
      </c>
      <c r="CE6" s="69">
        <f t="shared" si="28"/>
        <v>1.7604662687012995E-2</v>
      </c>
      <c r="CF6" s="70" t="str" cm="1">
        <f t="array" ref="CF6">_xlfn.IFS(CE6&gt;0%,"Incremento",CE6=0%,"Stazionarietà",CE6&lt;0%,"Diminuzione")</f>
        <v>Incremento</v>
      </c>
      <c r="CG6" s="73">
        <v>1641</v>
      </c>
      <c r="CH6" s="73">
        <v>1889</v>
      </c>
      <c r="CI6" s="73">
        <v>1690</v>
      </c>
      <c r="CJ6" s="74">
        <v>1689</v>
      </c>
      <c r="CK6" s="74">
        <v>1725</v>
      </c>
      <c r="CL6" s="74">
        <v>1866</v>
      </c>
      <c r="CM6" s="73">
        <v>1952</v>
      </c>
      <c r="CN6" s="73">
        <v>1292</v>
      </c>
      <c r="CO6" s="73">
        <v>674</v>
      </c>
      <c r="CP6" s="73">
        <f t="shared" si="29"/>
        <v>0.14142869701164007</v>
      </c>
      <c r="CQ6" s="73">
        <f t="shared" si="30"/>
        <v>0.15142376819289641</v>
      </c>
      <c r="CR6" s="73">
        <f t="shared" si="31"/>
        <v>0.15052482394830355</v>
      </c>
      <c r="CS6" s="73">
        <f t="shared" si="32"/>
        <v>0.13576813535528448</v>
      </c>
      <c r="CT6" s="73">
        <f t="shared" si="33"/>
        <v>0.14371732826070874</v>
      </c>
      <c r="CU6" s="73">
        <f t="shared" si="34"/>
        <v>0.16302638476323605</v>
      </c>
      <c r="CV6" s="73">
        <f t="shared" ref="CV6:CV7" si="45">CM6/AC6</f>
        <v>0.17657168701944823</v>
      </c>
      <c r="CW6" s="73">
        <f t="shared" ref="CW6:CW7" si="46">CN6/AF6</f>
        <v>0.14816513761467889</v>
      </c>
      <c r="CX6" s="73">
        <f>CO6/AI6</f>
        <v>0.15391641927380681</v>
      </c>
      <c r="CY6" s="73">
        <f t="shared" si="35"/>
        <v>14418</v>
      </c>
      <c r="CZ6" s="73">
        <f t="shared" si="2"/>
        <v>0.15161582016000033</v>
      </c>
      <c r="DA6" s="74">
        <f t="shared" si="36"/>
        <v>1.2487722262166739E-2</v>
      </c>
      <c r="DB6" s="69">
        <f>(CX6/CP6)-1</f>
        <v>8.8296947691874461E-2</v>
      </c>
      <c r="DC6" s="70" t="str" cm="1">
        <f t="array" ref="DC6">_xlfn.IFS(DB6&gt;0%,"Incremento",DB6=0%,"Stazionarietà",DB6&lt;0%,"Diminuzione")</f>
        <v>Incremento</v>
      </c>
      <c r="DD6" s="73">
        <v>1892</v>
      </c>
      <c r="DE6" s="73">
        <v>2051</v>
      </c>
      <c r="DF6" s="73">
        <v>1588</v>
      </c>
      <c r="DG6" s="74">
        <v>2026</v>
      </c>
      <c r="DH6" s="74">
        <v>1943</v>
      </c>
      <c r="DI6" s="74">
        <v>2086</v>
      </c>
      <c r="DJ6" s="73">
        <v>1889</v>
      </c>
      <c r="DK6" s="73">
        <v>1784</v>
      </c>
      <c r="DL6" s="73">
        <v>893</v>
      </c>
      <c r="DM6" s="73">
        <f>DD6/K6</f>
        <v>0.16306099618892322</v>
      </c>
      <c r="DN6" s="73">
        <f>DE6/N6</f>
        <v>0.16440981925020143</v>
      </c>
      <c r="DO6" s="73">
        <f>DF6/Q6</f>
        <v>0.14143989374550653</v>
      </c>
      <c r="DP6" s="73">
        <f>DG6/T6</f>
        <v>0.16285745543505409</v>
      </c>
      <c r="DQ6" s="73">
        <f>DH6/W6</f>
        <v>0.16187986597713455</v>
      </c>
      <c r="DR6" s="73">
        <f>DI6/Z6</f>
        <v>0.18224707321334965</v>
      </c>
      <c r="DS6" s="73">
        <f>DJ6/AC6</f>
        <v>0.17087290818634102</v>
      </c>
      <c r="DT6" s="73">
        <f>DK6/AF6</f>
        <v>0.20458715596330276</v>
      </c>
      <c r="DU6" s="73">
        <f>DL6/AI6</f>
        <v>0.20392783740580042</v>
      </c>
      <c r="DV6" s="73">
        <f t="shared" ref="DV6:DV52" si="47">SUM(DD6:DL6)</f>
        <v>16152</v>
      </c>
      <c r="DW6" s="73">
        <f>(SUM(DM6:DU6))/9</f>
        <v>0.17280922281840153</v>
      </c>
      <c r="DX6" s="80">
        <f t="shared" ref="DX6:DX47" si="48">DU6-DM6</f>
        <v>4.0866841216877198E-2</v>
      </c>
      <c r="DY6" s="70">
        <f>(DU6/DM6)-1</f>
        <v>0.25062303169992095</v>
      </c>
      <c r="DZ6" s="70" t="str" cm="1">
        <f t="array" ref="DZ6">_xlfn.IFS(DY6&gt;0%,"Incremento",DY6=0%,"Stazionarietà",DY6&lt;0%,"Diminuzione")</f>
        <v>Incremento</v>
      </c>
    </row>
    <row r="7" spans="1:130" x14ac:dyDescent="0.3">
      <c r="A7" s="78" t="s">
        <v>8</v>
      </c>
      <c r="B7" s="78" t="s">
        <v>9</v>
      </c>
      <c r="C7" s="78" t="s">
        <v>93</v>
      </c>
      <c r="D7" s="78">
        <v>2007000923</v>
      </c>
      <c r="E7" s="78" t="s">
        <v>89</v>
      </c>
      <c r="F7" s="48">
        <v>859</v>
      </c>
      <c r="G7" s="61">
        <v>0</v>
      </c>
      <c r="H7" s="61">
        <v>1140</v>
      </c>
      <c r="I7" s="62">
        <v>0</v>
      </c>
      <c r="J7" s="62">
        <v>2018</v>
      </c>
      <c r="K7" s="62">
        <f t="shared" si="3"/>
        <v>2018</v>
      </c>
      <c r="L7" s="62">
        <v>0</v>
      </c>
      <c r="M7" s="62">
        <v>1544</v>
      </c>
      <c r="N7" s="62">
        <f t="shared" si="4"/>
        <v>1544</v>
      </c>
      <c r="O7" s="62">
        <v>0</v>
      </c>
      <c r="P7" s="62">
        <v>3546</v>
      </c>
      <c r="Q7" s="62">
        <f t="shared" si="5"/>
        <v>3546</v>
      </c>
      <c r="R7" s="62">
        <v>0</v>
      </c>
      <c r="S7" s="62">
        <v>1912</v>
      </c>
      <c r="T7" s="62">
        <f t="shared" si="6"/>
        <v>1912</v>
      </c>
      <c r="U7" s="62">
        <v>0</v>
      </c>
      <c r="V7" s="62">
        <v>2345</v>
      </c>
      <c r="W7" s="62">
        <f t="shared" si="7"/>
        <v>2345</v>
      </c>
      <c r="X7" s="62">
        <v>0</v>
      </c>
      <c r="Y7" s="62">
        <v>1795</v>
      </c>
      <c r="Z7" s="62">
        <f t="shared" si="8"/>
        <v>1795</v>
      </c>
      <c r="AA7" s="62">
        <v>0</v>
      </c>
      <c r="AB7" s="62">
        <v>3126</v>
      </c>
      <c r="AC7" s="62">
        <f t="shared" si="9"/>
        <v>3126</v>
      </c>
      <c r="AD7" s="62">
        <v>0</v>
      </c>
      <c r="AE7" s="62">
        <v>3229</v>
      </c>
      <c r="AF7" s="62">
        <f t="shared" si="38"/>
        <v>3229</v>
      </c>
      <c r="AG7" s="62">
        <v>0</v>
      </c>
      <c r="AH7" s="62">
        <v>4055</v>
      </c>
      <c r="AI7" s="62">
        <f t="shared" si="10"/>
        <v>4055</v>
      </c>
      <c r="AJ7" s="64" t="s">
        <v>530</v>
      </c>
      <c r="AK7" s="65">
        <v>820000</v>
      </c>
      <c r="AL7" s="65">
        <v>630000</v>
      </c>
      <c r="AM7" s="65">
        <v>1371000</v>
      </c>
      <c r="AN7" s="79">
        <v>770000</v>
      </c>
      <c r="AO7" s="79">
        <v>918000</v>
      </c>
      <c r="AP7" s="79">
        <v>713000</v>
      </c>
      <c r="AQ7" s="65">
        <v>1214383</v>
      </c>
      <c r="AR7" s="65">
        <v>1230505</v>
      </c>
      <c r="AS7" s="65">
        <v>1539087</v>
      </c>
      <c r="AT7" s="66">
        <f t="shared" si="11"/>
        <v>406.34291377601585</v>
      </c>
      <c r="AU7" s="66">
        <f t="shared" si="12"/>
        <v>408.03108808290153</v>
      </c>
      <c r="AV7" s="66">
        <f t="shared" si="13"/>
        <v>386.63282571912015</v>
      </c>
      <c r="AW7" s="66">
        <f t="shared" si="14"/>
        <v>402.71966527196651</v>
      </c>
      <c r="AX7" s="66">
        <f t="shared" si="15"/>
        <v>391.47121535181236</v>
      </c>
      <c r="AY7" s="66">
        <f t="shared" si="16"/>
        <v>397.21448467966576</v>
      </c>
      <c r="AZ7" s="66">
        <f t="shared" si="39"/>
        <v>388.47824696097251</v>
      </c>
      <c r="BA7" s="66">
        <f t="shared" si="40"/>
        <v>381.0792815113038</v>
      </c>
      <c r="BB7" s="66">
        <f t="shared" si="41"/>
        <v>379.55289765721329</v>
      </c>
      <c r="BC7" s="68">
        <f t="shared" si="17"/>
        <v>9205975</v>
      </c>
      <c r="BD7" s="68">
        <f t="shared" si="18"/>
        <v>393.50251322344127</v>
      </c>
      <c r="BE7" s="68">
        <f t="shared" si="0"/>
        <v>-26.790016118802555</v>
      </c>
      <c r="BF7" s="69">
        <f t="shared" si="19"/>
        <v>-6.5929576253345834E-2</v>
      </c>
      <c r="BG7" s="70" t="str" cm="1">
        <f t="array" ref="BG7">_xlfn.IFS(BF7&gt;0%,"Incremento",BF7=0%,"Stazionarietà",BF7&lt;0%,"Diminuzione")</f>
        <v>Diminuzione</v>
      </c>
      <c r="BH7" s="71" t="s">
        <v>531</v>
      </c>
      <c r="BI7" s="72" t="s">
        <v>180</v>
      </c>
      <c r="BJ7" s="73">
        <v>298</v>
      </c>
      <c r="BK7" s="73">
        <v>222</v>
      </c>
      <c r="BL7" s="73">
        <v>488.9</v>
      </c>
      <c r="BM7" s="74">
        <v>291.39999999999998</v>
      </c>
      <c r="BN7" s="74">
        <v>336</v>
      </c>
      <c r="BO7" s="74">
        <v>262.89999999999998</v>
      </c>
      <c r="BP7" s="73">
        <v>441</v>
      </c>
      <c r="BQ7" s="73">
        <v>452.2</v>
      </c>
      <c r="BR7" s="73">
        <v>579.4</v>
      </c>
      <c r="BS7" s="62">
        <f t="shared" si="20"/>
        <v>0.14767096134786917</v>
      </c>
      <c r="BT7" s="62">
        <f t="shared" si="21"/>
        <v>0.14378238341968913</v>
      </c>
      <c r="BU7" s="62">
        <f t="shared" si="22"/>
        <v>0.13787366046249294</v>
      </c>
      <c r="BV7" s="62">
        <f t="shared" si="23"/>
        <v>0.15240585774058577</v>
      </c>
      <c r="BW7" s="62">
        <f t="shared" si="24"/>
        <v>0.14328358208955225</v>
      </c>
      <c r="BX7" s="62">
        <f t="shared" si="25"/>
        <v>0.14646239554317547</v>
      </c>
      <c r="BY7" s="62">
        <f>BP7/AC7</f>
        <v>0.14107485604606526</v>
      </c>
      <c r="BZ7" s="62">
        <f t="shared" si="43"/>
        <v>0.14004335707649426</v>
      </c>
      <c r="CA7" s="62">
        <f>BR7/AI7</f>
        <v>0.14288532675709001</v>
      </c>
      <c r="CB7" s="62">
        <f t="shared" si="26"/>
        <v>3371.7999999999997</v>
      </c>
      <c r="CC7" s="62">
        <f t="shared" si="1"/>
        <v>0.14394248672033491</v>
      </c>
      <c r="CD7" s="75">
        <f>CA7-BS7</f>
        <v>-4.7856345907791586E-3</v>
      </c>
      <c r="CE7" s="69">
        <f t="shared" si="28"/>
        <v>-3.2407418134873689E-2</v>
      </c>
      <c r="CF7" s="70" t="str" cm="1">
        <f t="array" ref="CF7">_xlfn.IFS(CE7&gt;0%,"Incremento",CE7=0%,"Stazionarietà",CE7&lt;0%,"Diminuzione")</f>
        <v>Diminuzione</v>
      </c>
      <c r="CG7" s="73">
        <v>354</v>
      </c>
      <c r="CH7" s="73">
        <v>510</v>
      </c>
      <c r="CI7" s="73">
        <v>786.4</v>
      </c>
      <c r="CJ7" s="74">
        <v>967.2</v>
      </c>
      <c r="CK7" s="74">
        <v>856</v>
      </c>
      <c r="CL7" s="74">
        <v>630.29999999999995</v>
      </c>
      <c r="CM7" s="73">
        <v>522</v>
      </c>
      <c r="CN7" s="73">
        <v>469.3</v>
      </c>
      <c r="CO7" s="73">
        <v>404.9</v>
      </c>
      <c r="CP7" s="73">
        <f t="shared" si="29"/>
        <v>0.17542120911793854</v>
      </c>
      <c r="CQ7" s="73">
        <f t="shared" si="30"/>
        <v>0.33031088082901555</v>
      </c>
      <c r="CR7" s="73">
        <f t="shared" si="31"/>
        <v>0.22177100958826845</v>
      </c>
      <c r="CS7" s="73">
        <f t="shared" si="32"/>
        <v>0.50585774058577404</v>
      </c>
      <c r="CT7" s="73">
        <f t="shared" si="33"/>
        <v>0.36503198294243072</v>
      </c>
      <c r="CU7" s="73">
        <f t="shared" si="34"/>
        <v>0.35114206128133701</v>
      </c>
      <c r="CV7" s="73">
        <f t="shared" si="45"/>
        <v>0.16698656429942418</v>
      </c>
      <c r="CW7" s="73">
        <f t="shared" si="46"/>
        <v>0.14533911427686591</v>
      </c>
      <c r="CX7" s="73">
        <f>CO7/AI7</f>
        <v>9.9852034525277425E-2</v>
      </c>
      <c r="CY7" s="73">
        <f t="shared" si="35"/>
        <v>5500.1</v>
      </c>
      <c r="CZ7" s="73">
        <f t="shared" si="2"/>
        <v>0.26241251082737027</v>
      </c>
      <c r="DA7" s="74">
        <f t="shared" si="36"/>
        <v>-7.5569174592661117E-2</v>
      </c>
      <c r="DB7" s="69">
        <f>(CX7/CP7)-1</f>
        <v>-0.43078698962709083</v>
      </c>
      <c r="DC7" s="70" t="str" cm="1">
        <f t="array" ref="DC7">_xlfn.IFS(DB7&gt;0%,"Incremento",DB7=0%,"Stazionarietà",DB7&lt;0%,"Diminuzione")</f>
        <v>Diminuzione</v>
      </c>
      <c r="DD7" s="73" t="s">
        <v>151</v>
      </c>
      <c r="DE7" s="73" t="s">
        <v>151</v>
      </c>
      <c r="DF7" s="73" t="s">
        <v>151</v>
      </c>
      <c r="DG7" s="74" t="s">
        <v>151</v>
      </c>
      <c r="DH7" s="74" t="s">
        <v>151</v>
      </c>
      <c r="DI7" s="74" t="s">
        <v>151</v>
      </c>
      <c r="DJ7" s="73" t="s">
        <v>151</v>
      </c>
      <c r="DK7" s="73" t="s">
        <v>151</v>
      </c>
      <c r="DL7" s="73" t="s">
        <v>151</v>
      </c>
      <c r="DM7" s="73" t="s">
        <v>151</v>
      </c>
      <c r="DN7" s="73" t="s">
        <v>151</v>
      </c>
      <c r="DO7" s="73" t="s">
        <v>151</v>
      </c>
      <c r="DP7" s="73" t="s">
        <v>151</v>
      </c>
      <c r="DQ7" s="73" t="s">
        <v>151</v>
      </c>
      <c r="DR7" s="73" t="s">
        <v>151</v>
      </c>
      <c r="DS7" s="73" t="s">
        <v>151</v>
      </c>
      <c r="DT7" s="73" t="s">
        <v>151</v>
      </c>
      <c r="DU7" s="73" t="s">
        <v>151</v>
      </c>
      <c r="DV7" s="73">
        <f t="shared" si="47"/>
        <v>0</v>
      </c>
      <c r="DW7" s="73">
        <f>(SUM(DM7:DU7))/9</f>
        <v>0</v>
      </c>
      <c r="DX7" s="74" t="s">
        <v>151</v>
      </c>
      <c r="DY7" s="70" t="s">
        <v>151</v>
      </c>
      <c r="DZ7" s="70" t="s">
        <v>151</v>
      </c>
    </row>
    <row r="8" spans="1:130" x14ac:dyDescent="0.3">
      <c r="A8" s="77" t="s">
        <v>10</v>
      </c>
      <c r="B8" s="78" t="s">
        <v>11</v>
      </c>
      <c r="C8" s="78" t="s">
        <v>94</v>
      </c>
      <c r="D8" s="78">
        <v>2008000039</v>
      </c>
      <c r="E8" s="78" t="s">
        <v>89</v>
      </c>
      <c r="F8" s="48">
        <v>189</v>
      </c>
      <c r="G8" s="61">
        <v>110</v>
      </c>
      <c r="H8" s="61">
        <v>72</v>
      </c>
      <c r="I8" s="62">
        <v>544</v>
      </c>
      <c r="J8" s="62">
        <v>173</v>
      </c>
      <c r="K8" s="62">
        <f t="shared" si="3"/>
        <v>717</v>
      </c>
      <c r="L8" s="62">
        <v>551</v>
      </c>
      <c r="M8" s="62">
        <v>176</v>
      </c>
      <c r="N8" s="62">
        <f t="shared" si="4"/>
        <v>727</v>
      </c>
      <c r="O8" s="62">
        <v>543</v>
      </c>
      <c r="P8" s="62">
        <v>173</v>
      </c>
      <c r="Q8" s="62">
        <f t="shared" si="5"/>
        <v>716</v>
      </c>
      <c r="R8" s="62">
        <v>398</v>
      </c>
      <c r="S8" s="62">
        <v>128</v>
      </c>
      <c r="T8" s="62">
        <f t="shared" si="6"/>
        <v>526</v>
      </c>
      <c r="U8" s="62">
        <v>455</v>
      </c>
      <c r="V8" s="62">
        <v>143</v>
      </c>
      <c r="W8" s="62">
        <f t="shared" si="7"/>
        <v>598</v>
      </c>
      <c r="X8" s="62">
        <v>361</v>
      </c>
      <c r="Y8" s="62">
        <v>110</v>
      </c>
      <c r="Z8" s="62">
        <f t="shared" si="8"/>
        <v>471</v>
      </c>
      <c r="AA8" s="62">
        <v>466</v>
      </c>
      <c r="AB8" s="62">
        <v>108.8</v>
      </c>
      <c r="AC8" s="62">
        <f t="shared" si="9"/>
        <v>574.79999999999995</v>
      </c>
      <c r="AD8" s="62">
        <v>446</v>
      </c>
      <c r="AE8" s="62">
        <v>109</v>
      </c>
      <c r="AF8" s="62">
        <f t="shared" si="38"/>
        <v>555</v>
      </c>
      <c r="AG8" s="62">
        <v>409.2</v>
      </c>
      <c r="AH8" s="62">
        <v>108.6</v>
      </c>
      <c r="AI8" s="62">
        <f t="shared" si="10"/>
        <v>517.79999999999995</v>
      </c>
      <c r="AJ8" s="64" t="s">
        <v>533</v>
      </c>
      <c r="AK8" s="65">
        <v>238735</v>
      </c>
      <c r="AL8" s="65">
        <v>239603</v>
      </c>
      <c r="AM8" s="65">
        <v>245013</v>
      </c>
      <c r="AN8" s="79">
        <v>193653</v>
      </c>
      <c r="AO8" s="79">
        <v>219311</v>
      </c>
      <c r="AP8" s="79">
        <v>204505</v>
      </c>
      <c r="AQ8" s="65">
        <v>212964</v>
      </c>
      <c r="AR8" s="65">
        <v>205652</v>
      </c>
      <c r="AS8" s="65">
        <v>199808</v>
      </c>
      <c r="AT8" s="66">
        <f t="shared" si="11"/>
        <v>332.96373779637378</v>
      </c>
      <c r="AU8" s="66">
        <f t="shared" si="12"/>
        <v>329.57771664374138</v>
      </c>
      <c r="AV8" s="66">
        <f t="shared" si="13"/>
        <v>342.19692737430165</v>
      </c>
      <c r="AW8" s="66">
        <f t="shared" si="14"/>
        <v>368.16159695817493</v>
      </c>
      <c r="AX8" s="66">
        <f t="shared" si="15"/>
        <v>366.74080267558526</v>
      </c>
      <c r="AY8" s="66">
        <f>AP8/Z8</f>
        <v>434.19320594479831</v>
      </c>
      <c r="AZ8" s="66">
        <v>371</v>
      </c>
      <c r="BA8" s="66">
        <v>371</v>
      </c>
      <c r="BB8" s="66">
        <v>386</v>
      </c>
      <c r="BC8" s="68">
        <f t="shared" si="17"/>
        <v>1959244</v>
      </c>
      <c r="BD8" s="68">
        <f t="shared" si="18"/>
        <v>366.8704430436639</v>
      </c>
      <c r="BE8" s="68">
        <f t="shared" si="0"/>
        <v>53.036262203626222</v>
      </c>
      <c r="BF8" s="69">
        <f t="shared" si="19"/>
        <v>0.15928540012985115</v>
      </c>
      <c r="BG8" s="70" t="str" cm="1">
        <f t="array" ref="BG8">_xlfn.IFS(BF8&gt;0%,"Incremento",BF8=0%,"Stazionarietà",BF8&lt;0%,"Diminuzione")</f>
        <v>Incremento</v>
      </c>
      <c r="BH8" s="71" t="s">
        <v>532</v>
      </c>
      <c r="BI8" s="72" t="s">
        <v>182</v>
      </c>
      <c r="BJ8" s="73">
        <v>182</v>
      </c>
      <c r="BK8" s="73">
        <v>187</v>
      </c>
      <c r="BL8" s="73">
        <v>167</v>
      </c>
      <c r="BM8" s="74">
        <v>130</v>
      </c>
      <c r="BN8" s="74">
        <v>138</v>
      </c>
      <c r="BO8" s="74">
        <v>130.4</v>
      </c>
      <c r="BP8" s="73" t="s">
        <v>151</v>
      </c>
      <c r="BQ8" s="73" t="s">
        <v>151</v>
      </c>
      <c r="BR8" s="73" t="s">
        <v>151</v>
      </c>
      <c r="BS8" s="62">
        <f t="shared" si="20"/>
        <v>0.25383542538354253</v>
      </c>
      <c r="BT8" s="62">
        <f t="shared" si="21"/>
        <v>0.25722145804676755</v>
      </c>
      <c r="BU8" s="62">
        <f t="shared" si="22"/>
        <v>0.23324022346368714</v>
      </c>
      <c r="BV8" s="62">
        <f t="shared" si="23"/>
        <v>0.24714828897338403</v>
      </c>
      <c r="BW8" s="62">
        <f t="shared" si="24"/>
        <v>0.23076923076923078</v>
      </c>
      <c r="BX8" s="62">
        <f t="shared" si="25"/>
        <v>0.27685774946921443</v>
      </c>
      <c r="BY8" s="62">
        <v>0.24</v>
      </c>
      <c r="BZ8" s="62">
        <v>0.18</v>
      </c>
      <c r="CA8" s="62">
        <v>0.11</v>
      </c>
      <c r="CB8" s="62">
        <f t="shared" si="26"/>
        <v>934.4</v>
      </c>
      <c r="CC8" s="62">
        <f t="shared" si="1"/>
        <v>0.2254524862339807</v>
      </c>
      <c r="CD8" s="75">
        <f>CA8-BS8</f>
        <v>-0.14383542538354255</v>
      </c>
      <c r="CE8" s="69">
        <f>(CA8/BS8)-1</f>
        <v>-0.56664835164835159</v>
      </c>
      <c r="CF8" s="70" t="str" cm="1">
        <f t="array" ref="CF8">_xlfn.IFS(CE8&gt;0%,"Incremento",CE8=0%,"Stazionarietà",CE8&lt;0%,"Diminuzione")</f>
        <v>Diminuzione</v>
      </c>
      <c r="CG8" s="73" t="s">
        <v>151</v>
      </c>
      <c r="CH8" s="73" t="s">
        <v>151</v>
      </c>
      <c r="CI8" s="73" t="s">
        <v>151</v>
      </c>
      <c r="CJ8" s="74" t="s">
        <v>151</v>
      </c>
      <c r="CK8" s="74" t="s">
        <v>151</v>
      </c>
      <c r="CL8" s="74" t="s">
        <v>151</v>
      </c>
      <c r="CM8" s="73" t="s">
        <v>151</v>
      </c>
      <c r="CN8" s="73" t="s">
        <v>151</v>
      </c>
      <c r="CO8" s="73" t="s">
        <v>151</v>
      </c>
      <c r="CP8" s="73" t="s">
        <v>151</v>
      </c>
      <c r="CQ8" s="73" t="s">
        <v>151</v>
      </c>
      <c r="CR8" s="73" t="s">
        <v>151</v>
      </c>
      <c r="CS8" s="73" t="s">
        <v>151</v>
      </c>
      <c r="CT8" s="73" t="s">
        <v>151</v>
      </c>
      <c r="CU8" s="73" t="s">
        <v>151</v>
      </c>
      <c r="CV8" s="73" t="s">
        <v>151</v>
      </c>
      <c r="CW8" s="73" t="s">
        <v>151</v>
      </c>
      <c r="CX8" s="73" t="s">
        <v>151</v>
      </c>
      <c r="CY8" s="73">
        <f t="shared" si="35"/>
        <v>0</v>
      </c>
      <c r="CZ8" s="73">
        <f t="shared" si="2"/>
        <v>0</v>
      </c>
      <c r="DA8" s="74" t="s">
        <v>151</v>
      </c>
      <c r="DB8" s="69" t="s">
        <v>151</v>
      </c>
      <c r="DC8" s="70" t="s">
        <v>151</v>
      </c>
      <c r="DD8" s="73">
        <v>236</v>
      </c>
      <c r="DE8" s="73">
        <v>193</v>
      </c>
      <c r="DF8" s="73">
        <v>136</v>
      </c>
      <c r="DG8" s="74">
        <v>127</v>
      </c>
      <c r="DH8" s="74">
        <v>141</v>
      </c>
      <c r="DI8" s="74">
        <v>117.1</v>
      </c>
      <c r="DJ8" s="73" t="s">
        <v>151</v>
      </c>
      <c r="DK8" s="73" t="s">
        <v>151</v>
      </c>
      <c r="DL8" s="73" t="s">
        <v>151</v>
      </c>
      <c r="DM8" s="73">
        <f t="shared" ref="DM8:DM47" si="49">DD8/K8</f>
        <v>0.32914923291492332</v>
      </c>
      <c r="DN8" s="73">
        <f t="shared" ref="DN8:DN47" si="50">DE8/N8</f>
        <v>0.265474552957359</v>
      </c>
      <c r="DO8" s="73">
        <f t="shared" ref="DO8:DO47" si="51">DF8/Q8</f>
        <v>0.18994413407821228</v>
      </c>
      <c r="DP8" s="73">
        <f t="shared" ref="DP8:DP47" si="52">DG8/T8</f>
        <v>0.2414448669201521</v>
      </c>
      <c r="DQ8" s="73">
        <f t="shared" ref="DQ8:DQ47" si="53">DH8/W8</f>
        <v>0.23578595317725753</v>
      </c>
      <c r="DR8" s="73">
        <f t="shared" ref="DR8:DR47" si="54">DI8/Z8</f>
        <v>0.24861995753715499</v>
      </c>
      <c r="DS8" s="73">
        <v>0.21</v>
      </c>
      <c r="DT8" s="73">
        <v>0.23</v>
      </c>
      <c r="DU8" s="73">
        <v>0.23</v>
      </c>
      <c r="DV8" s="73">
        <f t="shared" si="47"/>
        <v>950.1</v>
      </c>
      <c r="DW8" s="73">
        <f>(SUM(DM8:DU8))/9</f>
        <v>0.24226874417611766</v>
      </c>
      <c r="DX8" s="80">
        <f t="shared" si="48"/>
        <v>-9.9149232914923308E-2</v>
      </c>
      <c r="DY8" s="70">
        <f>(DU8/DM8)-1</f>
        <v>-0.30122881355932207</v>
      </c>
      <c r="DZ8" s="70" t="str" cm="1">
        <f t="array" ref="DZ8">_xlfn.IFS(DY8&gt;0%,"Incremento",DY8=0%,"Stazionarietà",DY8&lt;0%,"Diminuzione")</f>
        <v>Diminuzione</v>
      </c>
    </row>
    <row r="9" spans="1:130" ht="31.2" x14ac:dyDescent="0.3">
      <c r="A9" s="78" t="s">
        <v>12</v>
      </c>
      <c r="B9" s="78" t="s">
        <v>13</v>
      </c>
      <c r="C9" s="78" t="s">
        <v>95</v>
      </c>
      <c r="D9" s="78">
        <v>2007001020</v>
      </c>
      <c r="E9" s="78" t="s">
        <v>89</v>
      </c>
      <c r="F9" s="48">
        <v>159</v>
      </c>
      <c r="G9" s="61">
        <v>2500</v>
      </c>
      <c r="H9" s="61">
        <v>2800</v>
      </c>
      <c r="I9" s="62">
        <v>0</v>
      </c>
      <c r="J9" s="62">
        <v>2150</v>
      </c>
      <c r="K9" s="62">
        <f>J9+I9</f>
        <v>2150</v>
      </c>
      <c r="L9" s="62">
        <v>0</v>
      </c>
      <c r="M9" s="62">
        <f>1628.479552+28.78148</f>
        <v>1657.2610320000001</v>
      </c>
      <c r="N9" s="62">
        <f>M9+L9</f>
        <v>1657.2610320000001</v>
      </c>
      <c r="O9" s="62">
        <v>0</v>
      </c>
      <c r="P9" s="62">
        <v>923.08</v>
      </c>
      <c r="Q9" s="62">
        <f t="shared" si="5"/>
        <v>923.08</v>
      </c>
      <c r="R9" s="62">
        <v>0</v>
      </c>
      <c r="S9" s="62">
        <v>961.78</v>
      </c>
      <c r="T9" s="62">
        <f>R9+S9</f>
        <v>961.78</v>
      </c>
      <c r="U9" s="62">
        <v>0</v>
      </c>
      <c r="V9" s="62">
        <v>1616.84</v>
      </c>
      <c r="W9" s="62">
        <f>U9+V9</f>
        <v>1616.84</v>
      </c>
      <c r="X9" s="62">
        <v>0</v>
      </c>
      <c r="Y9" s="62">
        <v>1932.09</v>
      </c>
      <c r="Z9" s="62">
        <f t="shared" si="8"/>
        <v>1932.09</v>
      </c>
      <c r="AA9" s="62">
        <v>0</v>
      </c>
      <c r="AB9" s="63">
        <v>1308</v>
      </c>
      <c r="AC9" s="62">
        <f t="shared" si="9"/>
        <v>1308</v>
      </c>
      <c r="AD9" s="62">
        <v>0</v>
      </c>
      <c r="AE9" s="63">
        <v>1183</v>
      </c>
      <c r="AF9" s="62">
        <f t="shared" si="38"/>
        <v>1183</v>
      </c>
      <c r="AG9" s="63">
        <v>0</v>
      </c>
      <c r="AH9" s="62">
        <v>2471</v>
      </c>
      <c r="AI9" s="62">
        <f t="shared" si="10"/>
        <v>2471</v>
      </c>
      <c r="AJ9" s="64" t="s">
        <v>534</v>
      </c>
      <c r="AK9" s="65" t="s">
        <v>151</v>
      </c>
      <c r="AL9" s="65" t="s">
        <v>151</v>
      </c>
      <c r="AM9" s="65">
        <v>373800</v>
      </c>
      <c r="AN9" s="79" t="s">
        <v>151</v>
      </c>
      <c r="AO9" s="79" t="s">
        <v>151</v>
      </c>
      <c r="AP9" s="79">
        <v>765930</v>
      </c>
      <c r="AQ9" s="81">
        <v>508008</v>
      </c>
      <c r="AR9" s="81">
        <v>480622</v>
      </c>
      <c r="AS9" s="81">
        <v>956144</v>
      </c>
      <c r="AT9" s="66">
        <v>398</v>
      </c>
      <c r="AU9" s="66">
        <v>398</v>
      </c>
      <c r="AV9" s="66">
        <f t="shared" si="13"/>
        <v>404.94865017116609</v>
      </c>
      <c r="AW9" s="66">
        <v>409</v>
      </c>
      <c r="AX9" s="66">
        <v>393</v>
      </c>
      <c r="AY9" s="66">
        <f t="shared" si="16"/>
        <v>396.42563234631928</v>
      </c>
      <c r="AZ9" s="66">
        <f>AQ9/AC9</f>
        <v>388.38532110091745</v>
      </c>
      <c r="BA9" s="66">
        <f>AR9/AF9</f>
        <v>406.27387996618768</v>
      </c>
      <c r="BB9" s="66">
        <f>AS9/AI9</f>
        <v>386.94617563739376</v>
      </c>
      <c r="BC9" s="68">
        <f t="shared" si="17"/>
        <v>3084504</v>
      </c>
      <c r="BD9" s="68">
        <f t="shared" si="18"/>
        <v>397.88662880244271</v>
      </c>
      <c r="BE9" s="68">
        <f t="shared" si="0"/>
        <v>-11.053824362606235</v>
      </c>
      <c r="BF9" s="69">
        <f t="shared" si="19"/>
        <v>-2.7773428046749316E-2</v>
      </c>
      <c r="BG9" s="70" t="str" cm="1">
        <f t="array" ref="BG9">_xlfn.IFS(BF9&gt;0%,"Incremento",BF9=0%,"Stazionarietà",BF9&lt;0%,"Diminuzione")</f>
        <v>Diminuzione</v>
      </c>
      <c r="BH9" s="71" t="s">
        <v>535</v>
      </c>
      <c r="BI9" s="72" t="s">
        <v>180</v>
      </c>
      <c r="BJ9" s="73" t="s">
        <v>151</v>
      </c>
      <c r="BK9" s="73" t="s">
        <v>151</v>
      </c>
      <c r="BL9" s="73">
        <v>90.03</v>
      </c>
      <c r="BM9" s="74" t="s">
        <v>151</v>
      </c>
      <c r="BN9" s="74" t="s">
        <v>151</v>
      </c>
      <c r="BO9" s="74">
        <v>183.52</v>
      </c>
      <c r="BP9" s="73">
        <v>145</v>
      </c>
      <c r="BQ9" s="73">
        <v>145</v>
      </c>
      <c r="BR9" s="73">
        <v>250</v>
      </c>
      <c r="BS9" s="62">
        <v>0.108</v>
      </c>
      <c r="BT9" s="62">
        <v>8.5000000000000006E-2</v>
      </c>
      <c r="BU9" s="62">
        <f t="shared" si="22"/>
        <v>9.7532174892750359E-2</v>
      </c>
      <c r="BV9" s="62">
        <v>8.3000000000000004E-2</v>
      </c>
      <c r="BW9" s="62">
        <v>8.8999999999999996E-2</v>
      </c>
      <c r="BX9" s="62">
        <f t="shared" si="25"/>
        <v>9.4985223255645457E-2</v>
      </c>
      <c r="BY9" s="62">
        <f t="shared" ref="BY9:BY27" si="55">BP9/AC9</f>
        <v>0.11085626911314984</v>
      </c>
      <c r="BZ9" s="62">
        <f t="shared" ref="BZ9:BZ18" si="56">BQ9/AF9</f>
        <v>0.12256973795435334</v>
      </c>
      <c r="CA9" s="62">
        <f t="shared" ref="CA9:CA27" si="57">BR9/AI9</f>
        <v>0.10117361392148927</v>
      </c>
      <c r="CB9" s="62">
        <f t="shared" si="26"/>
        <v>813.55</v>
      </c>
      <c r="CC9" s="62">
        <f t="shared" si="1"/>
        <v>9.9124113237487585E-2</v>
      </c>
      <c r="CD9" s="75">
        <f>CA9-BS9</f>
        <v>-6.8263860785107294E-3</v>
      </c>
      <c r="CE9" s="69">
        <f>(CA9/BS9)-1</f>
        <v>-6.3207278504728959E-2</v>
      </c>
      <c r="CF9" s="70" t="str" cm="1">
        <f t="array" ref="CF9">_xlfn.IFS(CE9&gt;0%,"Incremento",CE9=0%,"Stazionarietà",CE9&lt;0%,"Diminuzione")</f>
        <v>Diminuzione</v>
      </c>
      <c r="CG9" s="73">
        <v>1000</v>
      </c>
      <c r="CH9" s="73">
        <v>2160.1790000000001</v>
      </c>
      <c r="CI9" s="73">
        <v>1835.35</v>
      </c>
      <c r="CJ9" s="74">
        <v>2520.9</v>
      </c>
      <c r="CK9" s="74">
        <v>1497.3</v>
      </c>
      <c r="CL9" s="74">
        <v>2254.3000000000002</v>
      </c>
      <c r="CM9" s="73">
        <v>1026.3</v>
      </c>
      <c r="CN9" s="73">
        <v>1941.4</v>
      </c>
      <c r="CO9" s="73">
        <v>1176.4739999999999</v>
      </c>
      <c r="CP9" s="73">
        <f>CG9/K9</f>
        <v>0.46511627906976744</v>
      </c>
      <c r="CQ9" s="73">
        <f>CH9/N9</f>
        <v>1.3034633399863831</v>
      </c>
      <c r="CR9" s="73">
        <f>CI9/Q9</f>
        <v>1.9882892057026476</v>
      </c>
      <c r="CS9" s="73">
        <f>CJ9/T9</f>
        <v>2.6210775853105703</v>
      </c>
      <c r="CT9" s="73">
        <f t="shared" si="33"/>
        <v>0.92606565893966009</v>
      </c>
      <c r="CU9" s="73">
        <f t="shared" si="34"/>
        <v>1.1667675936421182</v>
      </c>
      <c r="CV9" s="73">
        <f>CM9/AC9</f>
        <v>0.78463302752293573</v>
      </c>
      <c r="CW9" s="73">
        <f t="shared" ref="CW9:CW20" si="58">CN9/AF9</f>
        <v>1.6410819949281488</v>
      </c>
      <c r="CX9" s="73">
        <f>CO9/AI9</f>
        <v>0.47611250505868069</v>
      </c>
      <c r="CY9" s="73">
        <f>SUM(CG9:CO9)</f>
        <v>15412.202999999998</v>
      </c>
      <c r="CZ9" s="73">
        <f>(SUM(CP9:CX9))/9</f>
        <v>1.2636230211289901</v>
      </c>
      <c r="DA9" s="74">
        <f>CX9-CP9</f>
        <v>1.0996225988913255E-2</v>
      </c>
      <c r="DB9" s="69">
        <f>(CX9/CP9)-1</f>
        <v>2.364188587616356E-2</v>
      </c>
      <c r="DC9" s="70" t="str" cm="1">
        <f t="array" ref="DC9">_xlfn.IFS(DB9&gt;0%,"Incremento",DB9=0%,"Stazionarietà",DB9&lt;0%,"Diminuzione")</f>
        <v>Incremento</v>
      </c>
      <c r="DD9" s="73" t="s">
        <v>151</v>
      </c>
      <c r="DE9" s="73" t="s">
        <v>151</v>
      </c>
      <c r="DF9" s="73">
        <v>7.0000000000000007E-2</v>
      </c>
      <c r="DG9" s="74" t="s">
        <v>151</v>
      </c>
      <c r="DH9" s="74" t="s">
        <v>151</v>
      </c>
      <c r="DI9" s="74">
        <v>0</v>
      </c>
      <c r="DJ9" s="73" t="s">
        <v>151</v>
      </c>
      <c r="DK9" s="73" t="s">
        <v>151</v>
      </c>
      <c r="DL9" s="73" t="s">
        <v>151</v>
      </c>
      <c r="DM9" s="73">
        <v>2.9E-4</v>
      </c>
      <c r="DN9" s="73">
        <v>1.1E-4</v>
      </c>
      <c r="DO9" s="73">
        <f t="shared" si="51"/>
        <v>7.5833080556398145E-5</v>
      </c>
      <c r="DP9" s="73">
        <v>0</v>
      </c>
      <c r="DQ9" s="73">
        <v>0</v>
      </c>
      <c r="DR9" s="73">
        <f t="shared" si="54"/>
        <v>0</v>
      </c>
      <c r="DS9" s="73">
        <v>0</v>
      </c>
      <c r="DT9" s="73">
        <v>0</v>
      </c>
      <c r="DU9" s="73">
        <v>0</v>
      </c>
      <c r="DV9" s="73">
        <f t="shared" si="47"/>
        <v>7.0000000000000007E-2</v>
      </c>
      <c r="DW9" s="73">
        <f>(SUM(DM9:DU9))/3</f>
        <v>1.5861102685213273E-4</v>
      </c>
      <c r="DX9" s="80">
        <f t="shared" si="48"/>
        <v>-2.9E-4</v>
      </c>
      <c r="DY9" s="70">
        <f>(DU9/DM9)-1</f>
        <v>-1</v>
      </c>
      <c r="DZ9" s="70" t="str" cm="1">
        <f t="array" ref="DZ9">_xlfn.IFS(DY9&gt;0%,"Incremento",DY9=0%,"Stazionarietà",DY9&lt;0%,"Diminuzione")</f>
        <v>Diminuzione</v>
      </c>
    </row>
    <row r="10" spans="1:130" x14ac:dyDescent="0.3">
      <c r="A10" s="78" t="s">
        <v>14</v>
      </c>
      <c r="B10" s="78" t="s">
        <v>15</v>
      </c>
      <c r="C10" s="78" t="s">
        <v>96</v>
      </c>
      <c r="D10" s="78">
        <v>2007002316</v>
      </c>
      <c r="E10" s="78" t="s">
        <v>88</v>
      </c>
      <c r="F10" s="48">
        <v>839</v>
      </c>
      <c r="G10" s="61">
        <v>0</v>
      </c>
      <c r="H10" s="61">
        <v>590</v>
      </c>
      <c r="I10" s="62">
        <v>0</v>
      </c>
      <c r="J10" s="62">
        <v>1992</v>
      </c>
      <c r="K10" s="62">
        <f t="shared" si="3"/>
        <v>1992</v>
      </c>
      <c r="L10" s="62">
        <v>0</v>
      </c>
      <c r="M10" s="62">
        <v>2072</v>
      </c>
      <c r="N10" s="62">
        <f t="shared" si="4"/>
        <v>2072</v>
      </c>
      <c r="O10" s="62">
        <v>0</v>
      </c>
      <c r="P10" s="62">
        <v>1524</v>
      </c>
      <c r="Q10" s="62">
        <f t="shared" si="5"/>
        <v>1524</v>
      </c>
      <c r="R10" s="62">
        <v>0</v>
      </c>
      <c r="S10" s="62">
        <v>1632</v>
      </c>
      <c r="T10" s="62">
        <f t="shared" si="6"/>
        <v>1632</v>
      </c>
      <c r="U10" s="62">
        <v>0</v>
      </c>
      <c r="V10" s="62">
        <v>1277</v>
      </c>
      <c r="W10" s="62">
        <f t="shared" si="7"/>
        <v>1277</v>
      </c>
      <c r="X10" s="62">
        <v>0</v>
      </c>
      <c r="Y10" s="62">
        <v>618</v>
      </c>
      <c r="Z10" s="62">
        <f t="shared" si="8"/>
        <v>618</v>
      </c>
      <c r="AA10" s="63">
        <v>0</v>
      </c>
      <c r="AB10" s="62">
        <v>1187</v>
      </c>
      <c r="AC10" s="62">
        <f t="shared" si="9"/>
        <v>1187</v>
      </c>
      <c r="AD10" s="63">
        <v>0</v>
      </c>
      <c r="AE10" s="62">
        <v>1099</v>
      </c>
      <c r="AF10" s="62">
        <f t="shared" si="38"/>
        <v>1099</v>
      </c>
      <c r="AG10" s="63">
        <v>0</v>
      </c>
      <c r="AH10" s="62">
        <v>1306</v>
      </c>
      <c r="AI10" s="62">
        <f t="shared" si="10"/>
        <v>1306</v>
      </c>
      <c r="AJ10" s="64" t="s">
        <v>537</v>
      </c>
      <c r="AK10" s="65">
        <v>1850370</v>
      </c>
      <c r="AL10" s="65">
        <v>1981902</v>
      </c>
      <c r="AM10" s="65">
        <v>1425871</v>
      </c>
      <c r="AN10" s="79">
        <v>1648011</v>
      </c>
      <c r="AO10" s="79">
        <v>1294928</v>
      </c>
      <c r="AP10" s="79">
        <v>679581</v>
      </c>
      <c r="AQ10" s="81">
        <v>1074077</v>
      </c>
      <c r="AR10" s="81">
        <v>1001932</v>
      </c>
      <c r="AS10" s="81">
        <v>1152511</v>
      </c>
      <c r="AT10" s="66">
        <f t="shared" si="11"/>
        <v>928.90060240963851</v>
      </c>
      <c r="AU10" s="66">
        <f t="shared" si="12"/>
        <v>956.51640926640925</v>
      </c>
      <c r="AV10" s="66">
        <f t="shared" si="13"/>
        <v>935.61089238845148</v>
      </c>
      <c r="AW10" s="66">
        <f t="shared" si="14"/>
        <v>1009.8106617647059</v>
      </c>
      <c r="AX10" s="66">
        <f t="shared" si="15"/>
        <v>1014.0391542678152</v>
      </c>
      <c r="AY10" s="66">
        <f t="shared" si="16"/>
        <v>1099.6456310679612</v>
      </c>
      <c r="AZ10" s="66">
        <f t="shared" ref="AZ10:AZ17" si="59">AQ10/AC10</f>
        <v>904.86689132266213</v>
      </c>
      <c r="BA10" s="66">
        <f t="shared" ref="BA10:BA52" si="60">AR10/AF10</f>
        <v>911.67606915377621</v>
      </c>
      <c r="BB10" s="66">
        <f t="shared" ref="BB10:BB21" si="61">AS10/AI10</f>
        <v>882.47396630934145</v>
      </c>
      <c r="BC10" s="68">
        <f t="shared" si="17"/>
        <v>12109183</v>
      </c>
      <c r="BD10" s="68">
        <f t="shared" si="18"/>
        <v>960.39336421675114</v>
      </c>
      <c r="BE10" s="68">
        <f t="shared" si="0"/>
        <v>-46.42663610029706</v>
      </c>
      <c r="BF10" s="69">
        <f t="shared" si="19"/>
        <v>-4.9980198074867088E-2</v>
      </c>
      <c r="BG10" s="70" t="str" cm="1">
        <f t="array" ref="BG10">_xlfn.IFS(BF10&gt;0%,"Incremento",BF10=0%,"Stazionarietà",BF10&lt;0%,"Diminuzione")</f>
        <v>Diminuzione</v>
      </c>
      <c r="BH10" s="71" t="s">
        <v>536</v>
      </c>
      <c r="BI10" s="72" t="s">
        <v>181</v>
      </c>
      <c r="BJ10" s="73">
        <v>1406</v>
      </c>
      <c r="BK10" s="73">
        <v>1942</v>
      </c>
      <c r="BL10" s="73">
        <v>1242</v>
      </c>
      <c r="BM10" s="74">
        <v>1115</v>
      </c>
      <c r="BN10" s="74">
        <v>822</v>
      </c>
      <c r="BO10" s="74">
        <v>433</v>
      </c>
      <c r="BP10" s="73">
        <v>641</v>
      </c>
      <c r="BQ10" s="73">
        <v>685</v>
      </c>
      <c r="BR10" s="73">
        <v>798</v>
      </c>
      <c r="BS10" s="62">
        <f t="shared" si="20"/>
        <v>0.70582329317269077</v>
      </c>
      <c r="BT10" s="62">
        <f t="shared" si="21"/>
        <v>0.93725868725868722</v>
      </c>
      <c r="BU10" s="62">
        <f t="shared" si="22"/>
        <v>0.81496062992125984</v>
      </c>
      <c r="BV10" s="62">
        <f t="shared" si="23"/>
        <v>0.68321078431372551</v>
      </c>
      <c r="BW10" s="62">
        <f t="shared" si="24"/>
        <v>0.64369616288175413</v>
      </c>
      <c r="BX10" s="62">
        <f t="shared" si="25"/>
        <v>0.70064724919093846</v>
      </c>
      <c r="BY10" s="62">
        <f t="shared" si="55"/>
        <v>0.54001684919966297</v>
      </c>
      <c r="BZ10" s="62">
        <f t="shared" si="56"/>
        <v>0.62329390354868064</v>
      </c>
      <c r="CA10" s="62">
        <f t="shared" si="57"/>
        <v>0.61102603369065855</v>
      </c>
      <c r="CB10" s="62">
        <f t="shared" si="26"/>
        <v>9084</v>
      </c>
      <c r="CC10" s="62">
        <f t="shared" si="1"/>
        <v>0.69554817701978422</v>
      </c>
      <c r="CD10" s="75">
        <f>CA10-BS10</f>
        <v>-9.4797259482032215E-2</v>
      </c>
      <c r="CE10" s="69">
        <f t="shared" si="28"/>
        <v>-0.13430735482802858</v>
      </c>
      <c r="CF10" s="70" t="str" cm="1">
        <f t="array" ref="CF10">_xlfn.IFS(CE10&gt;0%,"Incremento",CE10=0%,"Stazionarietà",CE10&lt;0%,"Diminuzione")</f>
        <v>Diminuzione</v>
      </c>
      <c r="CG10" s="73">
        <v>477</v>
      </c>
      <c r="CH10" s="73">
        <v>705</v>
      </c>
      <c r="CI10" s="73">
        <v>312</v>
      </c>
      <c r="CJ10" s="74">
        <v>346</v>
      </c>
      <c r="CK10" s="74">
        <v>298</v>
      </c>
      <c r="CL10" s="74">
        <v>225</v>
      </c>
      <c r="CM10" s="73">
        <v>329</v>
      </c>
      <c r="CN10" s="73">
        <v>262</v>
      </c>
      <c r="CO10" s="73">
        <v>386</v>
      </c>
      <c r="CP10" s="73">
        <f t="shared" si="29"/>
        <v>0.23945783132530121</v>
      </c>
      <c r="CQ10" s="73">
        <f t="shared" si="30"/>
        <v>0.34025096525096526</v>
      </c>
      <c r="CR10" s="73">
        <f t="shared" si="31"/>
        <v>0.20472440944881889</v>
      </c>
      <c r="CS10" s="73">
        <f t="shared" si="32"/>
        <v>0.21200980392156862</v>
      </c>
      <c r="CT10" s="73">
        <f t="shared" si="33"/>
        <v>0.23335943617854346</v>
      </c>
      <c r="CU10" s="73">
        <f t="shared" si="34"/>
        <v>0.36407766990291263</v>
      </c>
      <c r="CV10" s="73">
        <f>CM10/AC10</f>
        <v>0.27716933445661329</v>
      </c>
      <c r="CW10" s="73">
        <f t="shared" si="58"/>
        <v>0.23839854413102821</v>
      </c>
      <c r="CX10" s="73">
        <f t="shared" ref="CX10:CX40" si="62">CO10/AI10</f>
        <v>0.29555895865237364</v>
      </c>
      <c r="CY10" s="73">
        <f t="shared" si="35"/>
        <v>3340</v>
      </c>
      <c r="CZ10" s="73">
        <f t="shared" si="2"/>
        <v>0.2672229948075695</v>
      </c>
      <c r="DA10" s="74">
        <f t="shared" si="36"/>
        <v>5.6101127327072425E-2</v>
      </c>
      <c r="DB10" s="69">
        <f>(CX10/CP10)-1</f>
        <v>0.23428395311431505</v>
      </c>
      <c r="DC10" s="70" t="str" cm="1">
        <f t="array" ref="DC10">_xlfn.IFS(DB10&gt;0%,"Incremento",DB10=0%,"Stazionarietà",DB10&lt;0%,"Diminuzione")</f>
        <v>Incremento</v>
      </c>
      <c r="DD10" s="73">
        <v>2172</v>
      </c>
      <c r="DE10" s="73">
        <v>3412</v>
      </c>
      <c r="DF10" s="73">
        <v>2065</v>
      </c>
      <c r="DG10" s="74">
        <v>1764</v>
      </c>
      <c r="DH10" s="74">
        <v>1415</v>
      </c>
      <c r="DI10" s="74">
        <v>400</v>
      </c>
      <c r="DJ10" s="73">
        <v>484</v>
      </c>
      <c r="DK10" s="73">
        <v>655</v>
      </c>
      <c r="DL10" s="73">
        <v>819</v>
      </c>
      <c r="DM10" s="73">
        <f t="shared" si="49"/>
        <v>1.0903614457831325</v>
      </c>
      <c r="DN10" s="73">
        <f t="shared" si="50"/>
        <v>1.6467181467181466</v>
      </c>
      <c r="DO10" s="73">
        <f t="shared" si="51"/>
        <v>1.3549868766404201</v>
      </c>
      <c r="DP10" s="73">
        <f t="shared" si="52"/>
        <v>1.0808823529411764</v>
      </c>
      <c r="DQ10" s="73">
        <f t="shared" si="53"/>
        <v>1.1080657791699295</v>
      </c>
      <c r="DR10" s="73">
        <f t="shared" si="54"/>
        <v>0.6472491909385113</v>
      </c>
      <c r="DS10" s="73">
        <f t="shared" ref="DS10" si="63">DJ10/AC10</f>
        <v>0.40775063184498739</v>
      </c>
      <c r="DT10" s="73">
        <f t="shared" ref="DT10" si="64">DK10/AF10</f>
        <v>0.59599636032757053</v>
      </c>
      <c r="DU10" s="73">
        <f t="shared" ref="DU10" si="65">DL10/AI10</f>
        <v>0.62710566615620211</v>
      </c>
      <c r="DV10" s="73">
        <f t="shared" si="47"/>
        <v>13186</v>
      </c>
      <c r="DW10" s="73">
        <f t="shared" ref="DW10:DW15" si="66">(SUM(DM10:DU10))/9</f>
        <v>0.95101293894667505</v>
      </c>
      <c r="DX10" s="80">
        <f t="shared" si="48"/>
        <v>-0.46325577962693043</v>
      </c>
      <c r="DY10" s="70">
        <f>(DU10/DM10)-1</f>
        <v>-0.42486441667442243</v>
      </c>
      <c r="DZ10" s="70" t="str" cm="1">
        <f t="array" ref="DZ10">_xlfn.IFS(DY10&gt;0%,"Incremento",DY10=0%,"Stazionarietà",DY10&lt;0%,"Diminuzione")</f>
        <v>Diminuzione</v>
      </c>
    </row>
    <row r="11" spans="1:130" ht="31.2" x14ac:dyDescent="0.3">
      <c r="A11" s="78" t="s">
        <v>4</v>
      </c>
      <c r="B11" s="78" t="s">
        <v>16</v>
      </c>
      <c r="C11" s="78" t="s">
        <v>97</v>
      </c>
      <c r="D11" s="78">
        <v>2007001204</v>
      </c>
      <c r="E11" s="78" t="s">
        <v>89</v>
      </c>
      <c r="F11" s="48">
        <v>247</v>
      </c>
      <c r="G11" s="61">
        <v>0</v>
      </c>
      <c r="H11" s="61">
        <v>1158</v>
      </c>
      <c r="I11" s="62">
        <v>0</v>
      </c>
      <c r="J11" s="62">
        <v>1989.3410690000001</v>
      </c>
      <c r="K11" s="62">
        <f>J11+I11</f>
        <v>1989.3410690000001</v>
      </c>
      <c r="L11" s="62">
        <v>0</v>
      </c>
      <c r="M11" s="62">
        <v>1375.317211</v>
      </c>
      <c r="N11" s="62">
        <f t="shared" si="4"/>
        <v>1375.317211</v>
      </c>
      <c r="O11" s="62">
        <v>0</v>
      </c>
      <c r="P11" s="62">
        <v>1103.2134229999999</v>
      </c>
      <c r="Q11" s="62">
        <f t="shared" si="5"/>
        <v>1103.2134229999999</v>
      </c>
      <c r="R11" s="62">
        <v>0</v>
      </c>
      <c r="S11" s="62">
        <v>504.42591299999998</v>
      </c>
      <c r="T11" s="62">
        <f t="shared" si="6"/>
        <v>504.42591299999998</v>
      </c>
      <c r="U11" s="62">
        <v>0</v>
      </c>
      <c r="V11" s="62">
        <v>927.71462599999995</v>
      </c>
      <c r="W11" s="62">
        <f t="shared" si="7"/>
        <v>927.71462599999995</v>
      </c>
      <c r="X11" s="62">
        <v>0</v>
      </c>
      <c r="Y11" s="62">
        <v>819.63711699999999</v>
      </c>
      <c r="Z11" s="62">
        <f t="shared" si="8"/>
        <v>819.63711699999999</v>
      </c>
      <c r="AA11" s="63">
        <v>0</v>
      </c>
      <c r="AB11" s="62">
        <v>1106.914</v>
      </c>
      <c r="AC11" s="62">
        <f t="shared" si="9"/>
        <v>1106.914</v>
      </c>
      <c r="AD11" s="63">
        <v>0</v>
      </c>
      <c r="AE11" s="62">
        <v>1432.7260000000001</v>
      </c>
      <c r="AF11" s="62">
        <f t="shared" si="38"/>
        <v>1432.7260000000001</v>
      </c>
      <c r="AG11" s="63">
        <v>0</v>
      </c>
      <c r="AH11" s="62">
        <v>1458.373</v>
      </c>
      <c r="AI11" s="62">
        <f t="shared" si="10"/>
        <v>1458.373</v>
      </c>
      <c r="AJ11" s="64" t="s">
        <v>538</v>
      </c>
      <c r="AK11" s="65">
        <v>792429</v>
      </c>
      <c r="AL11" s="65">
        <v>558928</v>
      </c>
      <c r="AM11" s="65">
        <v>457599</v>
      </c>
      <c r="AN11" s="79">
        <v>225769</v>
      </c>
      <c r="AO11" s="79">
        <v>394739</v>
      </c>
      <c r="AP11" s="79">
        <v>354127</v>
      </c>
      <c r="AQ11" s="81">
        <v>437477.1</v>
      </c>
      <c r="AR11" s="81">
        <v>556195.19999999995</v>
      </c>
      <c r="AS11" s="81">
        <v>575675</v>
      </c>
      <c r="AT11" s="66">
        <f t="shared" si="11"/>
        <v>398.33742556691772</v>
      </c>
      <c r="AU11" s="66">
        <f t="shared" si="12"/>
        <v>406.39933502584518</v>
      </c>
      <c r="AV11" s="66">
        <f t="shared" si="13"/>
        <v>414.78737518950584</v>
      </c>
      <c r="AW11" s="66">
        <f t="shared" si="14"/>
        <v>447.57613394060508</v>
      </c>
      <c r="AX11" s="66">
        <f t="shared" si="15"/>
        <v>425.49614820883511</v>
      </c>
      <c r="AY11" s="66">
        <f t="shared" si="16"/>
        <v>432.0533961372567</v>
      </c>
      <c r="AZ11" s="66">
        <f t="shared" si="59"/>
        <v>395.22230272631839</v>
      </c>
      <c r="BA11" s="66">
        <f t="shared" si="60"/>
        <v>388.20765449918542</v>
      </c>
      <c r="BB11" s="66">
        <f t="shared" si="61"/>
        <v>394.73783455947142</v>
      </c>
      <c r="BC11" s="68">
        <f t="shared" si="17"/>
        <v>4352938.3</v>
      </c>
      <c r="BD11" s="68">
        <f t="shared" si="18"/>
        <v>411.42417842821567</v>
      </c>
      <c r="BE11" s="68">
        <f t="shared" si="0"/>
        <v>-3.5995910074462927</v>
      </c>
      <c r="BF11" s="69">
        <f t="shared" si="19"/>
        <v>-9.0365373083468592E-3</v>
      </c>
      <c r="BG11" s="70" t="str" cm="1">
        <f t="array" ref="BG11">_xlfn.IFS(BF11&gt;0%,"Incremento",BF11=0%,"Stazionarietà",BF11&lt;0%,"Diminuzione")</f>
        <v>Diminuzione</v>
      </c>
      <c r="BH11" s="71" t="s">
        <v>539</v>
      </c>
      <c r="BI11" s="72" t="s">
        <v>180</v>
      </c>
      <c r="BJ11" s="73">
        <v>256.88499999999999</v>
      </c>
      <c r="BK11" s="73">
        <v>182.6</v>
      </c>
      <c r="BL11" s="73">
        <v>154.34800000000001</v>
      </c>
      <c r="BM11" s="74">
        <v>65.974000000000004</v>
      </c>
      <c r="BN11" s="74">
        <v>112.95</v>
      </c>
      <c r="BO11" s="74">
        <v>103.081</v>
      </c>
      <c r="BP11" s="73">
        <v>139.50399999999999</v>
      </c>
      <c r="BQ11" s="73">
        <v>173.97300000000001</v>
      </c>
      <c r="BR11" s="73">
        <v>186.57400000000001</v>
      </c>
      <c r="BS11" s="62">
        <f t="shared" si="20"/>
        <v>0.1291306975978386</v>
      </c>
      <c r="BT11" s="62">
        <f t="shared" si="21"/>
        <v>0.13276937025112237</v>
      </c>
      <c r="BU11" s="62">
        <f t="shared" si="22"/>
        <v>0.13990765230201521</v>
      </c>
      <c r="BV11" s="62">
        <f t="shared" si="23"/>
        <v>0.13079026731126719</v>
      </c>
      <c r="BW11" s="62">
        <f t="shared" si="24"/>
        <v>0.12175080227742363</v>
      </c>
      <c r="BX11" s="62">
        <f t="shared" si="25"/>
        <v>0.12576419230170124</v>
      </c>
      <c r="BY11" s="62">
        <f t="shared" si="55"/>
        <v>0.12602966445451047</v>
      </c>
      <c r="BZ11" s="62">
        <f t="shared" si="56"/>
        <v>0.12142796319742924</v>
      </c>
      <c r="CA11" s="62">
        <f t="shared" si="57"/>
        <v>0.12793297736587281</v>
      </c>
      <c r="CB11" s="62">
        <f t="shared" si="26"/>
        <v>1375.8890000000004</v>
      </c>
      <c r="CC11" s="62">
        <f t="shared" si="1"/>
        <v>0.12838928745102007</v>
      </c>
      <c r="CD11" s="75">
        <f>CA11-BS11</f>
        <v>-1.1977202319657931E-3</v>
      </c>
      <c r="CE11" s="69">
        <f t="shared" si="28"/>
        <v>-9.2752556459962943E-3</v>
      </c>
      <c r="CF11" s="70" t="str" cm="1">
        <f t="array" ref="CF11">_xlfn.IFS(CE11&gt;0%,"Incremento",CE11=0%,"Stazionarietà",CE11&lt;0%,"Diminuzione")</f>
        <v>Diminuzione</v>
      </c>
      <c r="CG11" s="73">
        <v>29.318999999999999</v>
      </c>
      <c r="CH11" s="73">
        <v>21.645</v>
      </c>
      <c r="CI11" s="73">
        <v>11.395</v>
      </c>
      <c r="CJ11" s="74">
        <v>65.974000000000004</v>
      </c>
      <c r="CK11" s="74">
        <v>112.95</v>
      </c>
      <c r="CL11" s="74">
        <v>103.081</v>
      </c>
      <c r="CM11" s="73">
        <v>29.372</v>
      </c>
      <c r="CN11" s="73">
        <v>17.824000000000002</v>
      </c>
      <c r="CO11" s="73">
        <v>14.558</v>
      </c>
      <c r="CP11" s="73">
        <f t="shared" si="29"/>
        <v>1.4738045907199836E-2</v>
      </c>
      <c r="CQ11" s="73">
        <f t="shared" si="30"/>
        <v>1.5738187399154127E-2</v>
      </c>
      <c r="CR11" s="73">
        <f t="shared" si="31"/>
        <v>1.0328917109269075E-2</v>
      </c>
      <c r="CS11" s="73">
        <f t="shared" si="32"/>
        <v>0.13079026731126719</v>
      </c>
      <c r="CT11" s="73">
        <f t="shared" si="33"/>
        <v>0.12175080227742363</v>
      </c>
      <c r="CU11" s="73">
        <f t="shared" si="34"/>
        <v>0.12576419230170124</v>
      </c>
      <c r="CV11" s="73">
        <f t="shared" ref="CV11:CV21" si="67">CM11/AC11</f>
        <v>2.6535033435298498E-2</v>
      </c>
      <c r="CW11" s="73">
        <f t="shared" si="58"/>
        <v>1.2440620188368189E-2</v>
      </c>
      <c r="CX11" s="73">
        <f t="shared" si="62"/>
        <v>9.9823570513167745E-3</v>
      </c>
      <c r="CY11" s="73">
        <f t="shared" si="35"/>
        <v>406.11800000000005</v>
      </c>
      <c r="CZ11" s="73">
        <f t="shared" si="2"/>
        <v>5.2007602553444283E-2</v>
      </c>
      <c r="DA11" s="74">
        <f t="shared" si="36"/>
        <v>-4.7556888558830616E-3</v>
      </c>
      <c r="DB11" s="69">
        <f>(CX11/CP11)-1</f>
        <v>-0.3226810993687983</v>
      </c>
      <c r="DC11" s="70" t="str" cm="1">
        <f t="array" ref="DC11">_xlfn.IFS(DB11&gt;0%,"Incremento",DB11=0%,"Stazionarietà",DB11&lt;0%,"Diminuzione")</f>
        <v>Diminuzione</v>
      </c>
      <c r="DD11" s="73" t="s">
        <v>151</v>
      </c>
      <c r="DE11" s="73" t="s">
        <v>151</v>
      </c>
      <c r="DF11" s="73" t="s">
        <v>151</v>
      </c>
      <c r="DG11" s="74" t="s">
        <v>151</v>
      </c>
      <c r="DH11" s="74" t="s">
        <v>151</v>
      </c>
      <c r="DI11" s="74" t="s">
        <v>151</v>
      </c>
      <c r="DJ11" s="73" t="s">
        <v>151</v>
      </c>
      <c r="DK11" s="73" t="s">
        <v>151</v>
      </c>
      <c r="DL11" s="73" t="s">
        <v>151</v>
      </c>
      <c r="DM11" s="73" t="s">
        <v>151</v>
      </c>
      <c r="DN11" s="73" t="s">
        <v>151</v>
      </c>
      <c r="DO11" s="73" t="s">
        <v>151</v>
      </c>
      <c r="DP11" s="73" t="s">
        <v>151</v>
      </c>
      <c r="DQ11" s="73" t="s">
        <v>151</v>
      </c>
      <c r="DR11" s="73" t="s">
        <v>151</v>
      </c>
      <c r="DS11" s="73" t="s">
        <v>151</v>
      </c>
      <c r="DT11" s="73" t="s">
        <v>151</v>
      </c>
      <c r="DU11" s="73" t="s">
        <v>151</v>
      </c>
      <c r="DV11" s="73">
        <f t="shared" si="47"/>
        <v>0</v>
      </c>
      <c r="DW11" s="73">
        <f t="shared" si="66"/>
        <v>0</v>
      </c>
      <c r="DX11" s="74" t="s">
        <v>151</v>
      </c>
      <c r="DY11" s="70" t="s">
        <v>151</v>
      </c>
      <c r="DZ11" s="70" t="s">
        <v>151</v>
      </c>
    </row>
    <row r="12" spans="1:130" x14ac:dyDescent="0.3">
      <c r="A12" s="78" t="s">
        <v>17</v>
      </c>
      <c r="B12" s="78" t="s">
        <v>18</v>
      </c>
      <c r="C12" s="78" t="s">
        <v>98</v>
      </c>
      <c r="D12" s="78">
        <v>2007002019</v>
      </c>
      <c r="E12" s="78" t="s">
        <v>88</v>
      </c>
      <c r="F12" s="48">
        <v>343</v>
      </c>
      <c r="G12" s="61">
        <v>0</v>
      </c>
      <c r="H12" s="61">
        <v>1152</v>
      </c>
      <c r="I12" s="62">
        <v>0</v>
      </c>
      <c r="J12" s="62">
        <v>3018</v>
      </c>
      <c r="K12" s="62">
        <f t="shared" si="3"/>
        <v>3018</v>
      </c>
      <c r="L12" s="62">
        <v>0</v>
      </c>
      <c r="M12" s="62">
        <v>4498</v>
      </c>
      <c r="N12" s="62">
        <f t="shared" si="4"/>
        <v>4498</v>
      </c>
      <c r="O12" s="62">
        <v>0</v>
      </c>
      <c r="P12" s="62">
        <v>4640</v>
      </c>
      <c r="Q12" s="62">
        <f t="shared" si="5"/>
        <v>4640</v>
      </c>
      <c r="R12" s="62">
        <v>0</v>
      </c>
      <c r="S12" s="62">
        <v>4989</v>
      </c>
      <c r="T12" s="62">
        <f t="shared" si="6"/>
        <v>4989</v>
      </c>
      <c r="U12" s="62">
        <v>0</v>
      </c>
      <c r="V12" s="62">
        <v>5891</v>
      </c>
      <c r="W12" s="62">
        <f t="shared" si="7"/>
        <v>5891</v>
      </c>
      <c r="X12" s="62">
        <v>0</v>
      </c>
      <c r="Y12" s="62">
        <v>4667</v>
      </c>
      <c r="Z12" s="62">
        <f t="shared" si="8"/>
        <v>4667</v>
      </c>
      <c r="AA12" s="63">
        <v>0</v>
      </c>
      <c r="AB12" s="62">
        <v>3770</v>
      </c>
      <c r="AC12" s="62">
        <f t="shared" si="9"/>
        <v>3770</v>
      </c>
      <c r="AD12" s="63">
        <v>0</v>
      </c>
      <c r="AE12" s="62">
        <v>3605</v>
      </c>
      <c r="AF12" s="62">
        <f t="shared" si="38"/>
        <v>3605</v>
      </c>
      <c r="AG12" s="63">
        <v>0</v>
      </c>
      <c r="AH12" s="62">
        <v>1933</v>
      </c>
      <c r="AI12" s="62">
        <f t="shared" si="10"/>
        <v>1933</v>
      </c>
      <c r="AJ12" s="64" t="s">
        <v>540</v>
      </c>
      <c r="AK12" s="65" t="s">
        <v>151</v>
      </c>
      <c r="AL12" s="65" t="s">
        <v>151</v>
      </c>
      <c r="AM12" s="65">
        <v>4427885</v>
      </c>
      <c r="AN12" s="79" t="s">
        <v>151</v>
      </c>
      <c r="AO12" s="79" t="s">
        <v>151</v>
      </c>
      <c r="AP12" s="79">
        <v>4665440</v>
      </c>
      <c r="AQ12" s="81">
        <v>3682848</v>
      </c>
      <c r="AR12" s="81">
        <v>3556557</v>
      </c>
      <c r="AS12" s="81">
        <v>1972631</v>
      </c>
      <c r="AT12" s="66">
        <v>835</v>
      </c>
      <c r="AU12" s="66">
        <v>827</v>
      </c>
      <c r="AV12" s="66">
        <v>842</v>
      </c>
      <c r="AW12" s="66">
        <v>858</v>
      </c>
      <c r="AX12" s="66">
        <v>850</v>
      </c>
      <c r="AY12" s="66">
        <v>883</v>
      </c>
      <c r="AZ12" s="66">
        <f t="shared" si="59"/>
        <v>976.88275862068963</v>
      </c>
      <c r="BA12" s="66">
        <f t="shared" si="60"/>
        <v>986.56227461858532</v>
      </c>
      <c r="BB12" s="66">
        <f t="shared" si="61"/>
        <v>1020.5023279875841</v>
      </c>
      <c r="BC12" s="68">
        <f t="shared" si="17"/>
        <v>18305361</v>
      </c>
      <c r="BD12" s="68">
        <f t="shared" si="18"/>
        <v>897.66081791409545</v>
      </c>
      <c r="BE12" s="68">
        <f t="shared" si="0"/>
        <v>185.50232798758407</v>
      </c>
      <c r="BF12" s="69">
        <f t="shared" si="19"/>
        <v>0.22215847663183719</v>
      </c>
      <c r="BG12" s="70" t="str" cm="1">
        <f t="array" ref="BG12">_xlfn.IFS(BF12&gt;0%,"Incremento",BF12=0%,"Stazionarietà",BF12&lt;0%,"Diminuzione")</f>
        <v>Incremento</v>
      </c>
      <c r="BH12" s="71" t="s">
        <v>541</v>
      </c>
      <c r="BI12" s="72" t="s">
        <v>181</v>
      </c>
      <c r="BJ12" s="73" t="s">
        <v>151</v>
      </c>
      <c r="BK12" s="73" t="s">
        <v>151</v>
      </c>
      <c r="BL12" s="73">
        <v>2545</v>
      </c>
      <c r="BM12" s="74" t="s">
        <v>151</v>
      </c>
      <c r="BN12" s="74" t="s">
        <v>151</v>
      </c>
      <c r="BO12" s="74">
        <v>2909</v>
      </c>
      <c r="BP12" s="73">
        <v>1663</v>
      </c>
      <c r="BQ12" s="73">
        <v>1199</v>
      </c>
      <c r="BR12" s="73">
        <v>488</v>
      </c>
      <c r="BS12" s="62">
        <v>0.46</v>
      </c>
      <c r="BT12" s="62">
        <v>0.45</v>
      </c>
      <c r="BU12" s="62">
        <v>0.48</v>
      </c>
      <c r="BV12" s="62">
        <v>0.48</v>
      </c>
      <c r="BW12" s="62">
        <v>0.53</v>
      </c>
      <c r="BX12" s="62">
        <v>0.55000000000000004</v>
      </c>
      <c r="BY12" s="62">
        <f t="shared" si="55"/>
        <v>0.44111405835543765</v>
      </c>
      <c r="BZ12" s="62">
        <f t="shared" si="56"/>
        <v>0.33259361997226072</v>
      </c>
      <c r="CA12" s="62">
        <f t="shared" si="57"/>
        <v>0.25245732022762546</v>
      </c>
      <c r="CB12" s="62">
        <f t="shared" si="26"/>
        <v>8804</v>
      </c>
      <c r="CC12" s="62">
        <f t="shared" si="1"/>
        <v>0.44179611095059157</v>
      </c>
      <c r="CD12" s="75">
        <f t="shared" si="27"/>
        <v>-0.20754267977237456</v>
      </c>
      <c r="CE12" s="69">
        <f t="shared" si="28"/>
        <v>-0.45117973863559691</v>
      </c>
      <c r="CF12" s="70" t="str" cm="1">
        <f t="array" ref="CF12">_xlfn.IFS(CE12&gt;0%,"Incremento",CE12=0%,"Stazionarietà",CE12&lt;0%,"Diminuzione")</f>
        <v>Diminuzione</v>
      </c>
      <c r="CG12" s="73" t="s">
        <v>151</v>
      </c>
      <c r="CH12" s="73" t="s">
        <v>151</v>
      </c>
      <c r="CI12" s="73">
        <v>172</v>
      </c>
      <c r="CJ12" s="74" t="s">
        <v>151</v>
      </c>
      <c r="CK12" s="74" t="s">
        <v>151</v>
      </c>
      <c r="CL12" s="74">
        <v>183</v>
      </c>
      <c r="CM12" s="73">
        <v>115</v>
      </c>
      <c r="CN12" s="73">
        <v>98</v>
      </c>
      <c r="CO12" s="73">
        <v>50</v>
      </c>
      <c r="CP12" s="73" t="s">
        <v>151</v>
      </c>
      <c r="CQ12" s="73" t="s">
        <v>151</v>
      </c>
      <c r="CR12" s="73">
        <f t="shared" si="31"/>
        <v>3.7068965517241377E-2</v>
      </c>
      <c r="CS12" s="73" t="s">
        <v>151</v>
      </c>
      <c r="CT12" s="73" t="s">
        <v>151</v>
      </c>
      <c r="CU12" s="73">
        <f t="shared" si="34"/>
        <v>3.9211484893936145E-2</v>
      </c>
      <c r="CV12" s="73">
        <f t="shared" si="67"/>
        <v>3.0503978779840849E-2</v>
      </c>
      <c r="CW12" s="73">
        <f t="shared" si="58"/>
        <v>2.7184466019417475E-2</v>
      </c>
      <c r="CX12" s="73">
        <f t="shared" si="62"/>
        <v>2.5866528711846869E-2</v>
      </c>
      <c r="CY12" s="73">
        <f t="shared" si="35"/>
        <v>618</v>
      </c>
      <c r="CZ12" s="73">
        <f>(SUM(CP12:CX12))/5</f>
        <v>3.1967084784456541E-2</v>
      </c>
      <c r="DA12" s="74">
        <f>CX12-CR12</f>
        <v>-1.1202436805394508E-2</v>
      </c>
      <c r="DB12" s="69">
        <f>(CX12/CR12)-1</f>
        <v>-0.30220527195947977</v>
      </c>
      <c r="DC12" s="70" t="str" cm="1">
        <f t="array" ref="DC12">_xlfn.IFS(DB12&gt;0%,"Incremento",DB12=0%,"Stazionarietà",DB12&lt;0%,"Diminuzione")</f>
        <v>Diminuzione</v>
      </c>
      <c r="DD12" s="73" t="s">
        <v>151</v>
      </c>
      <c r="DE12" s="73" t="s">
        <v>151</v>
      </c>
      <c r="DF12" s="73">
        <v>2018</v>
      </c>
      <c r="DG12" s="74" t="s">
        <v>151</v>
      </c>
      <c r="DH12" s="74" t="s">
        <v>151</v>
      </c>
      <c r="DI12" s="74">
        <v>1987</v>
      </c>
      <c r="DJ12" s="73">
        <v>1035</v>
      </c>
      <c r="DK12" s="73">
        <v>973</v>
      </c>
      <c r="DL12" s="73">
        <v>641</v>
      </c>
      <c r="DM12" s="73">
        <v>0.38</v>
      </c>
      <c r="DN12" s="73">
        <v>0.39</v>
      </c>
      <c r="DO12" s="73">
        <f t="shared" si="51"/>
        <v>0.4349137931034483</v>
      </c>
      <c r="DP12" s="73">
        <v>0.35</v>
      </c>
      <c r="DQ12" s="73">
        <v>0.37</v>
      </c>
      <c r="DR12" s="73">
        <f t="shared" si="54"/>
        <v>0.42575530319262911</v>
      </c>
      <c r="DS12" s="73">
        <f t="shared" ref="DS12" si="68">DJ12/AC12</f>
        <v>0.27453580901856767</v>
      </c>
      <c r="DT12" s="73">
        <f t="shared" ref="DT12" si="69">DK12/AF12</f>
        <v>0.26990291262135924</v>
      </c>
      <c r="DU12" s="73">
        <f t="shared" ref="DU12" si="70">DL12/AI12</f>
        <v>0.3316088980858769</v>
      </c>
      <c r="DV12" s="73">
        <f t="shared" si="47"/>
        <v>6654</v>
      </c>
      <c r="DW12" s="73">
        <f t="shared" si="66"/>
        <v>0.35852407955798682</v>
      </c>
      <c r="DX12" s="80">
        <f t="shared" si="48"/>
        <v>-4.8391101914123102E-2</v>
      </c>
      <c r="DY12" s="70">
        <f>(DU12/DM12)-1</f>
        <v>-0.12734500503716606</v>
      </c>
      <c r="DZ12" s="70" t="str" cm="1">
        <f t="array" ref="DZ12">_xlfn.IFS(DY12&gt;0%,"Incremento",DY12=0%,"Stazionarietà",DY12&lt;0%,"Diminuzione")</f>
        <v>Diminuzione</v>
      </c>
    </row>
    <row r="13" spans="1:130" x14ac:dyDescent="0.3">
      <c r="A13" s="82" t="s">
        <v>4</v>
      </c>
      <c r="B13" s="82" t="s">
        <v>19</v>
      </c>
      <c r="C13" s="82" t="s">
        <v>99</v>
      </c>
      <c r="D13" s="82">
        <v>2007001363</v>
      </c>
      <c r="E13" s="82" t="s">
        <v>89</v>
      </c>
      <c r="F13" s="48">
        <v>391</v>
      </c>
      <c r="G13" s="61">
        <v>20</v>
      </c>
      <c r="H13" s="61">
        <v>841</v>
      </c>
      <c r="I13" s="62">
        <v>0</v>
      </c>
      <c r="J13" s="62">
        <v>1962</v>
      </c>
      <c r="K13" s="62">
        <f t="shared" si="3"/>
        <v>1962</v>
      </c>
      <c r="L13" s="62">
        <v>0</v>
      </c>
      <c r="M13" s="62">
        <v>1667</v>
      </c>
      <c r="N13" s="62">
        <f t="shared" si="4"/>
        <v>1667</v>
      </c>
      <c r="O13" s="62">
        <v>0</v>
      </c>
      <c r="P13" s="62">
        <v>842</v>
      </c>
      <c r="Q13" s="62">
        <f t="shared" si="5"/>
        <v>842</v>
      </c>
      <c r="R13" s="62">
        <v>0</v>
      </c>
      <c r="S13" s="62">
        <v>636</v>
      </c>
      <c r="T13" s="62">
        <f t="shared" si="6"/>
        <v>636</v>
      </c>
      <c r="U13" s="62">
        <v>0</v>
      </c>
      <c r="V13" s="62">
        <v>1073</v>
      </c>
      <c r="W13" s="62">
        <f t="shared" si="7"/>
        <v>1073</v>
      </c>
      <c r="X13" s="62">
        <v>0</v>
      </c>
      <c r="Y13" s="62">
        <v>788</v>
      </c>
      <c r="Z13" s="62">
        <f t="shared" si="8"/>
        <v>788</v>
      </c>
      <c r="AA13" s="63">
        <v>0</v>
      </c>
      <c r="AB13" s="62">
        <v>1702.91</v>
      </c>
      <c r="AC13" s="62">
        <f t="shared" si="9"/>
        <v>1702.91</v>
      </c>
      <c r="AD13" s="63">
        <v>0</v>
      </c>
      <c r="AE13" s="62">
        <v>1662.165</v>
      </c>
      <c r="AF13" s="62">
        <f t="shared" si="38"/>
        <v>1662.165</v>
      </c>
      <c r="AG13" s="63">
        <v>16.170999999999999</v>
      </c>
      <c r="AH13" s="62">
        <v>1578.905</v>
      </c>
      <c r="AI13" s="62">
        <f t="shared" si="10"/>
        <v>1595.076</v>
      </c>
      <c r="AJ13" s="64" t="s">
        <v>542</v>
      </c>
      <c r="AK13" s="65">
        <v>754880</v>
      </c>
      <c r="AL13" s="65">
        <v>650103</v>
      </c>
      <c r="AM13" s="65">
        <v>334104</v>
      </c>
      <c r="AN13" s="83">
        <v>263450</v>
      </c>
      <c r="AO13" s="83">
        <v>428956</v>
      </c>
      <c r="AP13" s="83">
        <v>312931</v>
      </c>
      <c r="AQ13" s="81">
        <v>657640</v>
      </c>
      <c r="AR13" s="81">
        <v>642717.9</v>
      </c>
      <c r="AS13" s="81">
        <v>607316</v>
      </c>
      <c r="AT13" s="66">
        <f t="shared" si="11"/>
        <v>384.75025484199796</v>
      </c>
      <c r="AU13" s="66">
        <f t="shared" si="12"/>
        <v>389.98380323935214</v>
      </c>
      <c r="AV13" s="66">
        <f t="shared" si="13"/>
        <v>396.79809976247031</v>
      </c>
      <c r="AW13" s="66">
        <f t="shared" si="14"/>
        <v>414.22955974842768</v>
      </c>
      <c r="AX13" s="66">
        <f t="shared" si="15"/>
        <v>399.77260018639328</v>
      </c>
      <c r="AY13" s="66">
        <f t="shared" si="16"/>
        <v>397.12055837563452</v>
      </c>
      <c r="AZ13" s="66">
        <f t="shared" si="59"/>
        <v>386.18599926009006</v>
      </c>
      <c r="BA13" s="66">
        <f t="shared" si="60"/>
        <v>386.67514957901295</v>
      </c>
      <c r="BB13" s="66">
        <f t="shared" si="61"/>
        <v>380.74424039983046</v>
      </c>
      <c r="BC13" s="68">
        <f t="shared" si="17"/>
        <v>4652097.9000000004</v>
      </c>
      <c r="BD13" s="68">
        <f t="shared" si="18"/>
        <v>392.91780726591213</v>
      </c>
      <c r="BE13" s="68">
        <f t="shared" si="0"/>
        <v>-4.0060144421674977</v>
      </c>
      <c r="BF13" s="69">
        <f t="shared" si="19"/>
        <v>-1.0411986455506339E-2</v>
      </c>
      <c r="BG13" s="70" t="str" cm="1">
        <f t="array" ref="BG13">_xlfn.IFS(BF13&gt;0%,"Incremento",BF13=0%,"Stazionarietà",BF13&lt;0%,"Diminuzione")</f>
        <v>Diminuzione</v>
      </c>
      <c r="BH13" s="84" t="s">
        <v>155</v>
      </c>
      <c r="BI13" s="72" t="s">
        <v>180</v>
      </c>
      <c r="BJ13" s="73">
        <v>383</v>
      </c>
      <c r="BK13" s="73">
        <v>347</v>
      </c>
      <c r="BL13" s="73">
        <v>132</v>
      </c>
      <c r="BM13" s="74">
        <v>83</v>
      </c>
      <c r="BN13" s="74">
        <v>141</v>
      </c>
      <c r="BO13" s="74">
        <v>105</v>
      </c>
      <c r="BP13" s="73">
        <v>227.1</v>
      </c>
      <c r="BQ13" s="73">
        <v>213.6</v>
      </c>
      <c r="BR13" s="73">
        <v>202</v>
      </c>
      <c r="BS13" s="62">
        <f t="shared" si="20"/>
        <v>0.19520897043832824</v>
      </c>
      <c r="BT13" s="62">
        <f t="shared" si="21"/>
        <v>0.20815836832633472</v>
      </c>
      <c r="BU13" s="62">
        <f t="shared" si="22"/>
        <v>0.15676959619952494</v>
      </c>
      <c r="BV13" s="62">
        <f t="shared" si="23"/>
        <v>0.13050314465408805</v>
      </c>
      <c r="BW13" s="62">
        <f t="shared" si="24"/>
        <v>0.13140726933830382</v>
      </c>
      <c r="BX13" s="62">
        <f t="shared" si="25"/>
        <v>0.13324873096446702</v>
      </c>
      <c r="BY13" s="62">
        <f t="shared" si="55"/>
        <v>0.13335995443094467</v>
      </c>
      <c r="BZ13" s="62">
        <f t="shared" si="56"/>
        <v>0.12850709767080887</v>
      </c>
      <c r="CA13" s="62">
        <f t="shared" si="57"/>
        <v>0.12663973378071014</v>
      </c>
      <c r="CB13" s="62">
        <f t="shared" si="26"/>
        <v>1833.6999999999998</v>
      </c>
      <c r="CC13" s="62">
        <f t="shared" si="1"/>
        <v>0.14931142953372339</v>
      </c>
      <c r="CD13" s="75">
        <f t="shared" si="27"/>
        <v>-6.8569236657618104E-2</v>
      </c>
      <c r="CE13" s="69">
        <f t="shared" si="28"/>
        <v>-0.35126068491448226</v>
      </c>
      <c r="CF13" s="70" t="str" cm="1">
        <f t="array" ref="CF13">_xlfn.IFS(CE13&gt;0%,"Incremento",CE13=0%,"Stazionarietà",CE13&lt;0%,"Diminuzione")</f>
        <v>Diminuzione</v>
      </c>
      <c r="CG13" s="73">
        <v>51</v>
      </c>
      <c r="CH13" s="73">
        <v>44</v>
      </c>
      <c r="CI13" s="73">
        <v>14</v>
      </c>
      <c r="CJ13" s="74">
        <v>9</v>
      </c>
      <c r="CK13" s="74">
        <v>13</v>
      </c>
      <c r="CL13" s="74">
        <v>10</v>
      </c>
      <c r="CM13" s="73">
        <v>14</v>
      </c>
      <c r="CN13" s="73">
        <v>14.2</v>
      </c>
      <c r="CO13" s="73">
        <v>11.9</v>
      </c>
      <c r="CP13" s="73">
        <f t="shared" si="29"/>
        <v>2.5993883792048929E-2</v>
      </c>
      <c r="CQ13" s="73">
        <f t="shared" si="30"/>
        <v>2.6394721055788842E-2</v>
      </c>
      <c r="CR13" s="73">
        <f t="shared" si="31"/>
        <v>1.66270783847981E-2</v>
      </c>
      <c r="CS13" s="73">
        <f t="shared" si="32"/>
        <v>1.4150943396226415E-2</v>
      </c>
      <c r="CT13" s="73">
        <f t="shared" si="33"/>
        <v>1.2115563839701771E-2</v>
      </c>
      <c r="CU13" s="73">
        <f t="shared" si="34"/>
        <v>1.2690355329949238E-2</v>
      </c>
      <c r="CV13" s="73">
        <f t="shared" si="67"/>
        <v>8.2212213211502651E-3</v>
      </c>
      <c r="CW13" s="73">
        <f t="shared" si="58"/>
        <v>8.5430748451567687E-3</v>
      </c>
      <c r="CX13" s="73">
        <f t="shared" si="62"/>
        <v>7.4604595643091619E-3</v>
      </c>
      <c r="CY13" s="73">
        <f t="shared" si="35"/>
        <v>181.1</v>
      </c>
      <c r="CZ13" s="73">
        <f>(SUM(CP13:CX13))/9</f>
        <v>1.4688589058792164E-2</v>
      </c>
      <c r="DA13" s="74">
        <f t="shared" si="36"/>
        <v>-1.8533424227739768E-2</v>
      </c>
      <c r="DB13" s="69">
        <f t="shared" ref="DB13:DB27" si="71">(CX13/CP13)-1</f>
        <v>-0.71299173205540045</v>
      </c>
      <c r="DC13" s="70" t="str" cm="1">
        <f t="array" ref="DC13">_xlfn.IFS(DB13&gt;0%,"Incremento",DB13=0%,"Stazionarietà",DB13&lt;0%,"Diminuzione")</f>
        <v>Diminuzione</v>
      </c>
      <c r="DD13" s="73" t="s">
        <v>151</v>
      </c>
      <c r="DE13" s="73" t="s">
        <v>151</v>
      </c>
      <c r="DF13" s="73" t="s">
        <v>151</v>
      </c>
      <c r="DG13" s="73" t="s">
        <v>151</v>
      </c>
      <c r="DH13" s="73" t="s">
        <v>151</v>
      </c>
      <c r="DI13" s="73" t="s">
        <v>151</v>
      </c>
      <c r="DJ13" s="73" t="s">
        <v>151</v>
      </c>
      <c r="DK13" s="73" t="s">
        <v>151</v>
      </c>
      <c r="DL13" s="73" t="s">
        <v>151</v>
      </c>
      <c r="DM13" s="73" t="s">
        <v>151</v>
      </c>
      <c r="DN13" s="73" t="s">
        <v>151</v>
      </c>
      <c r="DO13" s="73" t="s">
        <v>151</v>
      </c>
      <c r="DP13" s="73" t="s">
        <v>151</v>
      </c>
      <c r="DQ13" s="73" t="s">
        <v>151</v>
      </c>
      <c r="DR13" s="73" t="s">
        <v>151</v>
      </c>
      <c r="DS13" s="73" t="s">
        <v>151</v>
      </c>
      <c r="DT13" s="73" t="s">
        <v>151</v>
      </c>
      <c r="DU13" s="73" t="s">
        <v>151</v>
      </c>
      <c r="DV13" s="73">
        <f t="shared" si="47"/>
        <v>0</v>
      </c>
      <c r="DW13" s="73">
        <f t="shared" si="66"/>
        <v>0</v>
      </c>
      <c r="DX13" s="74" t="s">
        <v>151</v>
      </c>
      <c r="DY13" s="70" t="s">
        <v>151</v>
      </c>
      <c r="DZ13" s="70" t="s">
        <v>151</v>
      </c>
    </row>
    <row r="14" spans="1:130" x14ac:dyDescent="0.3">
      <c r="A14" s="82" t="s">
        <v>4</v>
      </c>
      <c r="B14" s="82" t="s">
        <v>20</v>
      </c>
      <c r="C14" s="82" t="s">
        <v>100</v>
      </c>
      <c r="D14" s="82">
        <v>2007001816</v>
      </c>
      <c r="E14" s="82" t="s">
        <v>89</v>
      </c>
      <c r="F14" s="48">
        <v>7</v>
      </c>
      <c r="G14" s="61">
        <v>2078.4</v>
      </c>
      <c r="H14" s="61">
        <v>1177</v>
      </c>
      <c r="I14" s="62">
        <v>0</v>
      </c>
      <c r="J14" s="62">
        <v>2390</v>
      </c>
      <c r="K14" s="62">
        <f t="shared" si="3"/>
        <v>2390</v>
      </c>
      <c r="L14" s="62">
        <v>0</v>
      </c>
      <c r="M14" s="62">
        <v>1950</v>
      </c>
      <c r="N14" s="62">
        <f t="shared" si="4"/>
        <v>1950</v>
      </c>
      <c r="O14" s="62">
        <v>0</v>
      </c>
      <c r="P14" s="62">
        <v>0</v>
      </c>
      <c r="Q14" s="62">
        <f t="shared" si="5"/>
        <v>0</v>
      </c>
      <c r="R14" s="62">
        <v>0</v>
      </c>
      <c r="S14" s="62">
        <v>0</v>
      </c>
      <c r="T14" s="62">
        <f t="shared" si="6"/>
        <v>0</v>
      </c>
      <c r="U14" s="62">
        <v>0</v>
      </c>
      <c r="V14" s="62">
        <v>355.48</v>
      </c>
      <c r="W14" s="62">
        <f t="shared" si="7"/>
        <v>355.48</v>
      </c>
      <c r="X14" s="62">
        <v>0</v>
      </c>
      <c r="Y14" s="62">
        <v>933.41899999999998</v>
      </c>
      <c r="Z14" s="62">
        <f t="shared" si="8"/>
        <v>933.41899999999998</v>
      </c>
      <c r="AA14" s="63">
        <v>0</v>
      </c>
      <c r="AB14" s="62">
        <v>2063.6060000000002</v>
      </c>
      <c r="AC14" s="62">
        <f t="shared" si="9"/>
        <v>2063.6060000000002</v>
      </c>
      <c r="AD14" s="63">
        <v>0</v>
      </c>
      <c r="AE14" s="62">
        <v>2236.864</v>
      </c>
      <c r="AF14" s="62">
        <f t="shared" si="38"/>
        <v>2236.864</v>
      </c>
      <c r="AG14" s="63">
        <v>0</v>
      </c>
      <c r="AH14" s="62">
        <v>2538.9180000000001</v>
      </c>
      <c r="AI14" s="62">
        <f t="shared" si="10"/>
        <v>2538.9180000000001</v>
      </c>
      <c r="AJ14" s="64" t="s">
        <v>543</v>
      </c>
      <c r="AK14" s="65">
        <v>925000</v>
      </c>
      <c r="AL14" s="65">
        <v>757000</v>
      </c>
      <c r="AM14" s="65">
        <v>228000</v>
      </c>
      <c r="AN14" s="79">
        <v>0</v>
      </c>
      <c r="AO14" s="79">
        <v>144270</v>
      </c>
      <c r="AP14" s="79">
        <v>365830</v>
      </c>
      <c r="AQ14" s="81">
        <v>808170</v>
      </c>
      <c r="AR14" s="81">
        <v>865710</v>
      </c>
      <c r="AS14" s="81">
        <v>973008</v>
      </c>
      <c r="AT14" s="66">
        <f t="shared" si="11"/>
        <v>387.02928870292885</v>
      </c>
      <c r="AU14" s="66">
        <f t="shared" si="12"/>
        <v>388.20512820512823</v>
      </c>
      <c r="AV14" s="66" t="s">
        <v>151</v>
      </c>
      <c r="AW14" s="66">
        <v>0</v>
      </c>
      <c r="AX14" s="66">
        <f t="shared" si="15"/>
        <v>405.84561719365365</v>
      </c>
      <c r="AY14" s="66">
        <f t="shared" si="16"/>
        <v>391.92474119339761</v>
      </c>
      <c r="AZ14" s="66">
        <f t="shared" si="59"/>
        <v>391.62999138401415</v>
      </c>
      <c r="BA14" s="66">
        <f t="shared" si="60"/>
        <v>387.01950587966007</v>
      </c>
      <c r="BB14" s="66">
        <f t="shared" si="61"/>
        <v>383.23726878930313</v>
      </c>
      <c r="BC14" s="68">
        <f t="shared" si="17"/>
        <v>5066988</v>
      </c>
      <c r="BD14" s="68">
        <f>(SUM(AT14:BB14))/7</f>
        <v>390.69879162115507</v>
      </c>
      <c r="BE14" s="68">
        <f t="shared" si="0"/>
        <v>-3.7920199136257224</v>
      </c>
      <c r="BF14" s="69">
        <f t="shared" si="19"/>
        <v>-9.7977595606113521E-3</v>
      </c>
      <c r="BG14" s="70" t="str" cm="1">
        <f t="array" ref="BG14">_xlfn.IFS(BF14&gt;0%,"Incremento",BF14=0%,"Stazionarietà",BF14&lt;0%,"Diminuzione")</f>
        <v>Diminuzione</v>
      </c>
      <c r="BH14" s="85" t="s">
        <v>155</v>
      </c>
      <c r="BI14" s="72" t="s">
        <v>180</v>
      </c>
      <c r="BJ14" s="73">
        <v>300.91199999999998</v>
      </c>
      <c r="BK14" s="73">
        <v>249.18100000000001</v>
      </c>
      <c r="BL14" s="73">
        <v>68.709999999999994</v>
      </c>
      <c r="BM14" s="74">
        <v>0</v>
      </c>
      <c r="BN14" s="74">
        <v>43.14</v>
      </c>
      <c r="BO14" s="74">
        <v>121.04</v>
      </c>
      <c r="BP14" s="73">
        <v>246.7</v>
      </c>
      <c r="BQ14" s="73">
        <v>286.10000000000002</v>
      </c>
      <c r="BR14" s="73">
        <v>310.8</v>
      </c>
      <c r="BS14" s="62">
        <f t="shared" si="20"/>
        <v>0.12590460251046023</v>
      </c>
      <c r="BT14" s="62">
        <f t="shared" si="21"/>
        <v>0.12778512820512822</v>
      </c>
      <c r="BU14" s="62" t="s">
        <v>151</v>
      </c>
      <c r="BV14" s="62">
        <v>0</v>
      </c>
      <c r="BW14" s="62">
        <f t="shared" si="24"/>
        <v>0.12135703837065376</v>
      </c>
      <c r="BX14" s="62">
        <f t="shared" si="25"/>
        <v>0.12967381208224818</v>
      </c>
      <c r="BY14" s="62">
        <f t="shared" si="55"/>
        <v>0.11954801449501502</v>
      </c>
      <c r="BZ14" s="62">
        <f t="shared" si="56"/>
        <v>0.12790227747417815</v>
      </c>
      <c r="CA14" s="62">
        <f t="shared" si="57"/>
        <v>0.12241435131028257</v>
      </c>
      <c r="CB14" s="62">
        <f t="shared" si="26"/>
        <v>1626.5829999999999</v>
      </c>
      <c r="CC14" s="62">
        <f>(SUM(BS14:CA14))/7</f>
        <v>0.12494074634970945</v>
      </c>
      <c r="CD14" s="75">
        <f t="shared" si="27"/>
        <v>-3.4902512001776659E-3</v>
      </c>
      <c r="CE14" s="69">
        <f t="shared" si="28"/>
        <v>-2.7721394854391401E-2</v>
      </c>
      <c r="CF14" s="70" t="str" cm="1">
        <f t="array" ref="CF14">_xlfn.IFS(CE14&gt;0%,"Incremento",CE14=0%,"Stazionarietà",CE14&lt;0%,"Diminuzione")</f>
        <v>Diminuzione</v>
      </c>
      <c r="CG14" s="73">
        <v>13.17</v>
      </c>
      <c r="CH14" s="73">
        <v>19.260000000000002</v>
      </c>
      <c r="CI14" s="73">
        <v>10.32</v>
      </c>
      <c r="CJ14" s="74">
        <v>0</v>
      </c>
      <c r="CK14" s="74">
        <v>10.119999999999999</v>
      </c>
      <c r="CL14" s="74">
        <v>13.82</v>
      </c>
      <c r="CM14" s="73">
        <v>24.9</v>
      </c>
      <c r="CN14" s="73">
        <v>12</v>
      </c>
      <c r="CO14" s="73">
        <v>16.8</v>
      </c>
      <c r="CP14" s="73">
        <f t="shared" si="29"/>
        <v>5.5104602510460251E-3</v>
      </c>
      <c r="CQ14" s="73">
        <f t="shared" si="30"/>
        <v>9.8769230769230783E-3</v>
      </c>
      <c r="CR14" s="73" t="s">
        <v>151</v>
      </c>
      <c r="CS14" s="73">
        <v>0</v>
      </c>
      <c r="CT14" s="73">
        <f t="shared" si="33"/>
        <v>2.8468549566782939E-2</v>
      </c>
      <c r="CU14" s="73">
        <f t="shared" si="34"/>
        <v>1.4805783897692248E-2</v>
      </c>
      <c r="CV14" s="73">
        <f t="shared" si="67"/>
        <v>1.2066256833911123E-2</v>
      </c>
      <c r="CW14" s="73">
        <f t="shared" si="58"/>
        <v>5.3646533718634658E-3</v>
      </c>
      <c r="CX14" s="73">
        <f t="shared" si="62"/>
        <v>6.6169919627179765E-3</v>
      </c>
      <c r="CY14" s="73">
        <f t="shared" si="35"/>
        <v>120.39</v>
      </c>
      <c r="CZ14" s="73">
        <f>(SUM(CP14:CX14))/7</f>
        <v>1.1815659851562408E-2</v>
      </c>
      <c r="DA14" s="74">
        <f t="shared" si="36"/>
        <v>1.1065317116719514E-3</v>
      </c>
      <c r="DB14" s="69">
        <f t="shared" si="71"/>
        <v>0.20080567888352041</v>
      </c>
      <c r="DC14" s="70" t="str" cm="1">
        <f t="array" ref="DC14">_xlfn.IFS(DB14&gt;0%,"Incremento",DB14=0%,"Stazionarietà",DB14&lt;0%,"Diminuzione")</f>
        <v>Incremento</v>
      </c>
      <c r="DD14" s="73" t="s">
        <v>151</v>
      </c>
      <c r="DE14" s="73" t="s">
        <v>151</v>
      </c>
      <c r="DF14" s="73" t="s">
        <v>151</v>
      </c>
      <c r="DG14" s="73" t="s">
        <v>151</v>
      </c>
      <c r="DH14" s="73" t="s">
        <v>151</v>
      </c>
      <c r="DI14" s="73" t="s">
        <v>151</v>
      </c>
      <c r="DJ14" s="73" t="s">
        <v>151</v>
      </c>
      <c r="DK14" s="73" t="s">
        <v>151</v>
      </c>
      <c r="DL14" s="73" t="s">
        <v>151</v>
      </c>
      <c r="DM14" s="73" t="s">
        <v>151</v>
      </c>
      <c r="DN14" s="73" t="s">
        <v>151</v>
      </c>
      <c r="DO14" s="73" t="s">
        <v>151</v>
      </c>
      <c r="DP14" s="73" t="s">
        <v>151</v>
      </c>
      <c r="DQ14" s="73" t="s">
        <v>151</v>
      </c>
      <c r="DR14" s="73" t="s">
        <v>151</v>
      </c>
      <c r="DS14" s="73" t="s">
        <v>151</v>
      </c>
      <c r="DT14" s="73" t="s">
        <v>151</v>
      </c>
      <c r="DU14" s="73" t="s">
        <v>151</v>
      </c>
      <c r="DV14" s="73">
        <f t="shared" si="47"/>
        <v>0</v>
      </c>
      <c r="DW14" s="73">
        <f t="shared" si="66"/>
        <v>0</v>
      </c>
      <c r="DX14" s="74" t="s">
        <v>151</v>
      </c>
      <c r="DY14" s="70" t="s">
        <v>151</v>
      </c>
      <c r="DZ14" s="70" t="s">
        <v>151</v>
      </c>
    </row>
    <row r="15" spans="1:130" ht="31.2" x14ac:dyDescent="0.3">
      <c r="A15" s="82" t="s">
        <v>8</v>
      </c>
      <c r="B15" s="82" t="s">
        <v>21</v>
      </c>
      <c r="C15" s="82" t="s">
        <v>101</v>
      </c>
      <c r="D15" s="82">
        <v>2007000924</v>
      </c>
      <c r="E15" s="82" t="s">
        <v>89</v>
      </c>
      <c r="F15" s="48">
        <v>796</v>
      </c>
      <c r="G15" s="61">
        <v>0</v>
      </c>
      <c r="H15" s="61">
        <v>213</v>
      </c>
      <c r="I15" s="62">
        <v>0</v>
      </c>
      <c r="J15" s="62">
        <v>86.515000000000001</v>
      </c>
      <c r="K15" s="62">
        <f t="shared" si="3"/>
        <v>86.515000000000001</v>
      </c>
      <c r="L15" s="62">
        <v>0</v>
      </c>
      <c r="M15" s="62">
        <v>70.933000000000007</v>
      </c>
      <c r="N15" s="62">
        <f t="shared" si="4"/>
        <v>70.933000000000007</v>
      </c>
      <c r="O15" s="62">
        <v>0</v>
      </c>
      <c r="P15" s="62">
        <v>92.385000000000005</v>
      </c>
      <c r="Q15" s="62">
        <f t="shared" si="5"/>
        <v>92.385000000000005</v>
      </c>
      <c r="R15" s="62">
        <v>0</v>
      </c>
      <c r="S15" s="62">
        <v>252.089</v>
      </c>
      <c r="T15" s="62">
        <f t="shared" si="6"/>
        <v>252.089</v>
      </c>
      <c r="U15" s="62">
        <v>0</v>
      </c>
      <c r="V15" s="62">
        <v>98.715999999999994</v>
      </c>
      <c r="W15" s="62">
        <f t="shared" si="7"/>
        <v>98.715999999999994</v>
      </c>
      <c r="X15" s="62">
        <v>0</v>
      </c>
      <c r="Y15" s="62">
        <v>128.02199999999999</v>
      </c>
      <c r="Z15" s="62">
        <f t="shared" si="8"/>
        <v>128.02199999999999</v>
      </c>
      <c r="AA15" s="63">
        <v>0</v>
      </c>
      <c r="AB15" s="62">
        <v>235.09</v>
      </c>
      <c r="AC15" s="62">
        <f t="shared" si="9"/>
        <v>235.09</v>
      </c>
      <c r="AD15" s="63">
        <v>0</v>
      </c>
      <c r="AE15" s="62">
        <v>17.555</v>
      </c>
      <c r="AF15" s="62">
        <f t="shared" si="38"/>
        <v>17.555</v>
      </c>
      <c r="AG15" s="63">
        <v>0</v>
      </c>
      <c r="AH15" s="62">
        <v>50.345999999999997</v>
      </c>
      <c r="AI15" s="62">
        <f t="shared" si="10"/>
        <v>50.345999999999997</v>
      </c>
      <c r="AJ15" s="64" t="s">
        <v>544</v>
      </c>
      <c r="AK15" s="65">
        <v>65000</v>
      </c>
      <c r="AL15" s="65">
        <v>54000</v>
      </c>
      <c r="AM15" s="65">
        <v>66000</v>
      </c>
      <c r="AN15" s="83">
        <v>168000</v>
      </c>
      <c r="AO15" s="83">
        <v>72000</v>
      </c>
      <c r="AP15" s="83">
        <v>92800</v>
      </c>
      <c r="AQ15" s="81">
        <v>165600</v>
      </c>
      <c r="AR15" s="81">
        <v>12700</v>
      </c>
      <c r="AS15" s="81">
        <v>35700</v>
      </c>
      <c r="AT15" s="66">
        <f t="shared" si="11"/>
        <v>751.31480090157777</v>
      </c>
      <c r="AU15" s="66">
        <f t="shared" si="12"/>
        <v>761.28177294066222</v>
      </c>
      <c r="AV15" s="66">
        <f t="shared" si="13"/>
        <v>714.40168858580932</v>
      </c>
      <c r="AW15" s="66">
        <f t="shared" si="14"/>
        <v>666.43130005672595</v>
      </c>
      <c r="AX15" s="66">
        <f t="shared" si="15"/>
        <v>729.36504720612675</v>
      </c>
      <c r="AY15" s="66">
        <f t="shared" si="16"/>
        <v>724.87541203855596</v>
      </c>
      <c r="AZ15" s="66">
        <f t="shared" si="59"/>
        <v>704.4110766089583</v>
      </c>
      <c r="BA15" s="66">
        <f t="shared" si="60"/>
        <v>723.44061520934213</v>
      </c>
      <c r="BB15" s="66">
        <f t="shared" si="61"/>
        <v>709.09307591467052</v>
      </c>
      <c r="BC15" s="68">
        <f t="shared" si="17"/>
        <v>731800</v>
      </c>
      <c r="BD15" s="68">
        <f t="shared" si="18"/>
        <v>720.5127543847143</v>
      </c>
      <c r="BE15" s="68">
        <f t="shared" si="0"/>
        <v>-42.221724986907248</v>
      </c>
      <c r="BF15" s="69">
        <f t="shared" si="19"/>
        <v>-5.6197115957573596E-2</v>
      </c>
      <c r="BG15" s="70" t="str" cm="1">
        <f t="array" ref="BG15">_xlfn.IFS(BF15&gt;0%,"Incremento",BF15=0%,"Stazionarietà",BF15&lt;0%,"Diminuzione")</f>
        <v>Diminuzione</v>
      </c>
      <c r="BH15" s="86" t="s">
        <v>156</v>
      </c>
      <c r="BI15" s="72" t="s">
        <v>180</v>
      </c>
      <c r="BJ15" s="73">
        <v>169</v>
      </c>
      <c r="BK15" s="73">
        <v>128</v>
      </c>
      <c r="BL15" s="73">
        <v>32</v>
      </c>
      <c r="BM15" s="74">
        <v>56.9</v>
      </c>
      <c r="BN15" s="74">
        <v>21.5</v>
      </c>
      <c r="BO15" s="74">
        <v>29.6</v>
      </c>
      <c r="BP15" s="73">
        <v>57.2</v>
      </c>
      <c r="BQ15" s="73">
        <v>4.9000000000000004</v>
      </c>
      <c r="BR15" s="73">
        <v>10.8</v>
      </c>
      <c r="BS15" s="62">
        <f t="shared" si="20"/>
        <v>1.9534184823441021</v>
      </c>
      <c r="BT15" s="62">
        <f t="shared" si="21"/>
        <v>1.8045197580815697</v>
      </c>
      <c r="BU15" s="62">
        <f t="shared" si="22"/>
        <v>0.34637657628402879</v>
      </c>
      <c r="BV15" s="62">
        <f t="shared" si="23"/>
        <v>0.22571393436445064</v>
      </c>
      <c r="BW15" s="62">
        <f t="shared" si="24"/>
        <v>0.21779650715182949</v>
      </c>
      <c r="BX15" s="62">
        <f t="shared" si="25"/>
        <v>0.23121026073643594</v>
      </c>
      <c r="BY15" s="62">
        <f t="shared" si="55"/>
        <v>0.24331107235526819</v>
      </c>
      <c r="BZ15" s="62">
        <f t="shared" si="56"/>
        <v>0.27912275704927375</v>
      </c>
      <c r="CA15" s="62">
        <f t="shared" si="57"/>
        <v>0.21451555237754741</v>
      </c>
      <c r="CB15" s="62">
        <f t="shared" si="26"/>
        <v>509.9</v>
      </c>
      <c r="CC15" s="62">
        <f t="shared" ref="CC15:CC27" si="72">(SUM(BS15:CA15))/9</f>
        <v>0.61288721119383405</v>
      </c>
      <c r="CD15" s="75">
        <f t="shared" si="27"/>
        <v>-1.7389029299665546</v>
      </c>
      <c r="CE15" s="69">
        <f t="shared" si="28"/>
        <v>-0.89018453837903244</v>
      </c>
      <c r="CF15" s="70" t="str" cm="1">
        <f t="array" ref="CF15">_xlfn.IFS(CE15&gt;0%,"Incremento",CE15=0%,"Stazionarietà",CE15&lt;0%,"Diminuzione")</f>
        <v>Diminuzione</v>
      </c>
      <c r="CG15" s="73">
        <v>24</v>
      </c>
      <c r="CH15" s="73">
        <v>26</v>
      </c>
      <c r="CI15" s="73">
        <v>15</v>
      </c>
      <c r="CJ15" s="74">
        <v>40</v>
      </c>
      <c r="CK15" s="74">
        <v>20</v>
      </c>
      <c r="CL15" s="74">
        <v>20</v>
      </c>
      <c r="CM15" s="73">
        <v>35</v>
      </c>
      <c r="CN15" s="73">
        <v>7</v>
      </c>
      <c r="CO15" s="73">
        <v>10</v>
      </c>
      <c r="CP15" s="73">
        <f t="shared" si="29"/>
        <v>0.27740854187135178</v>
      </c>
      <c r="CQ15" s="73">
        <f t="shared" si="30"/>
        <v>0.36654307586031887</v>
      </c>
      <c r="CR15" s="73">
        <f t="shared" si="31"/>
        <v>0.1623640201331385</v>
      </c>
      <c r="CS15" s="73">
        <f t="shared" si="32"/>
        <v>0.15867411906112525</v>
      </c>
      <c r="CT15" s="73">
        <f t="shared" si="33"/>
        <v>0.20260140200170187</v>
      </c>
      <c r="CU15" s="73">
        <f t="shared" si="34"/>
        <v>0.1562231491462405</v>
      </c>
      <c r="CV15" s="73">
        <f t="shared" si="67"/>
        <v>0.14887915266493684</v>
      </c>
      <c r="CW15" s="73">
        <f t="shared" si="58"/>
        <v>0.39874679578467676</v>
      </c>
      <c r="CX15" s="73">
        <f t="shared" si="62"/>
        <v>0.19862551146069202</v>
      </c>
      <c r="CY15" s="73">
        <f>SUM(CG15:CO15)</f>
        <v>197</v>
      </c>
      <c r="CZ15" s="73">
        <f t="shared" ref="CZ15:CZ27" si="73">(SUM(CP15:CX15))/9</f>
        <v>0.230007307553798</v>
      </c>
      <c r="DA15" s="74">
        <f t="shared" si="36"/>
        <v>-7.878303041065976E-2</v>
      </c>
      <c r="DB15" s="69">
        <f t="shared" si="71"/>
        <v>-0.28399641149909294</v>
      </c>
      <c r="DC15" s="70" t="str" cm="1">
        <f t="array" ref="DC15">_xlfn.IFS(DB15&gt;0%,"Incremento",DB15=0%,"Stazionarietà",DB15&lt;0%,"Diminuzione")</f>
        <v>Diminuzione</v>
      </c>
      <c r="DD15" s="73" t="s">
        <v>151</v>
      </c>
      <c r="DE15" s="73" t="s">
        <v>151</v>
      </c>
      <c r="DF15" s="73" t="s">
        <v>151</v>
      </c>
      <c r="DG15" s="73" t="s">
        <v>151</v>
      </c>
      <c r="DH15" s="73" t="s">
        <v>151</v>
      </c>
      <c r="DI15" s="73" t="s">
        <v>151</v>
      </c>
      <c r="DJ15" s="73" t="s">
        <v>151</v>
      </c>
      <c r="DK15" s="73" t="s">
        <v>151</v>
      </c>
      <c r="DL15" s="73" t="s">
        <v>151</v>
      </c>
      <c r="DM15" s="73" t="s">
        <v>151</v>
      </c>
      <c r="DN15" s="73" t="s">
        <v>151</v>
      </c>
      <c r="DO15" s="73" t="s">
        <v>151</v>
      </c>
      <c r="DP15" s="73" t="s">
        <v>151</v>
      </c>
      <c r="DQ15" s="73" t="s">
        <v>151</v>
      </c>
      <c r="DR15" s="73" t="s">
        <v>151</v>
      </c>
      <c r="DS15" s="73" t="s">
        <v>151</v>
      </c>
      <c r="DT15" s="73" t="s">
        <v>151</v>
      </c>
      <c r="DU15" s="73" t="s">
        <v>151</v>
      </c>
      <c r="DV15" s="73">
        <f t="shared" si="47"/>
        <v>0</v>
      </c>
      <c r="DW15" s="73">
        <f t="shared" si="66"/>
        <v>0</v>
      </c>
      <c r="DX15" s="74" t="s">
        <v>151</v>
      </c>
      <c r="DY15" s="70" t="s">
        <v>151</v>
      </c>
      <c r="DZ15" s="73" t="s">
        <v>151</v>
      </c>
    </row>
    <row r="16" spans="1:130" x14ac:dyDescent="0.3">
      <c r="A16" s="82" t="s">
        <v>8</v>
      </c>
      <c r="B16" s="82" t="s">
        <v>22</v>
      </c>
      <c r="C16" s="82" t="s">
        <v>102</v>
      </c>
      <c r="D16" s="82">
        <v>2007001158</v>
      </c>
      <c r="E16" s="82" t="s">
        <v>89</v>
      </c>
      <c r="F16" s="48">
        <v>244</v>
      </c>
      <c r="G16" s="61">
        <v>0</v>
      </c>
      <c r="H16" s="61">
        <v>1137</v>
      </c>
      <c r="I16" s="62">
        <v>0</v>
      </c>
      <c r="J16" s="62">
        <v>4207</v>
      </c>
      <c r="K16" s="62">
        <f t="shared" si="3"/>
        <v>4207</v>
      </c>
      <c r="L16" s="62">
        <v>0</v>
      </c>
      <c r="M16" s="62">
        <v>3097</v>
      </c>
      <c r="N16" s="62">
        <f t="shared" si="4"/>
        <v>3097</v>
      </c>
      <c r="O16" s="62">
        <v>0</v>
      </c>
      <c r="P16" s="62">
        <v>2426</v>
      </c>
      <c r="Q16" s="62">
        <f t="shared" si="5"/>
        <v>2426</v>
      </c>
      <c r="R16" s="62">
        <v>0</v>
      </c>
      <c r="S16" s="62">
        <v>1485</v>
      </c>
      <c r="T16" s="62">
        <f t="shared" si="6"/>
        <v>1485</v>
      </c>
      <c r="U16" s="62">
        <v>0</v>
      </c>
      <c r="V16" s="62">
        <v>2284</v>
      </c>
      <c r="W16" s="62">
        <f t="shared" si="7"/>
        <v>2284</v>
      </c>
      <c r="X16" s="62">
        <v>0</v>
      </c>
      <c r="Y16" s="62">
        <v>2456</v>
      </c>
      <c r="Z16" s="62">
        <f t="shared" si="8"/>
        <v>2456</v>
      </c>
      <c r="AA16" s="63">
        <v>0</v>
      </c>
      <c r="AB16" s="62">
        <v>3714</v>
      </c>
      <c r="AC16" s="62">
        <f t="shared" si="9"/>
        <v>3714</v>
      </c>
      <c r="AD16" s="63">
        <v>0</v>
      </c>
      <c r="AE16" s="62">
        <v>2658</v>
      </c>
      <c r="AF16" s="62">
        <f t="shared" si="38"/>
        <v>2658</v>
      </c>
      <c r="AG16" s="63">
        <v>0</v>
      </c>
      <c r="AH16" s="62">
        <v>2711</v>
      </c>
      <c r="AI16" s="62">
        <f t="shared" si="10"/>
        <v>2711</v>
      </c>
      <c r="AJ16" s="64" t="s">
        <v>546</v>
      </c>
      <c r="AK16" s="65">
        <v>1638000</v>
      </c>
      <c r="AL16" s="65">
        <v>1755000</v>
      </c>
      <c r="AM16" s="65">
        <v>954000</v>
      </c>
      <c r="AN16" s="79">
        <v>601000</v>
      </c>
      <c r="AO16" s="79">
        <v>886000</v>
      </c>
      <c r="AP16" s="79">
        <v>936000</v>
      </c>
      <c r="AQ16" s="81">
        <v>1421000</v>
      </c>
      <c r="AR16" s="81">
        <v>1029000</v>
      </c>
      <c r="AS16" s="81">
        <v>1033000</v>
      </c>
      <c r="AT16" s="66">
        <f t="shared" si="11"/>
        <v>389.35108153078204</v>
      </c>
      <c r="AU16" s="66">
        <f t="shared" si="12"/>
        <v>566.6774297707459</v>
      </c>
      <c r="AV16" s="66">
        <f t="shared" si="13"/>
        <v>393.23990107172301</v>
      </c>
      <c r="AW16" s="66">
        <f t="shared" si="14"/>
        <v>404.71380471380473</v>
      </c>
      <c r="AX16" s="66">
        <f t="shared" si="15"/>
        <v>387.91593695271456</v>
      </c>
      <c r="AY16" s="66">
        <f t="shared" si="16"/>
        <v>381.10749185667754</v>
      </c>
      <c r="AZ16" s="66">
        <f t="shared" si="59"/>
        <v>382.60635433494883</v>
      </c>
      <c r="BA16" s="66">
        <f t="shared" si="60"/>
        <v>387.13318284424378</v>
      </c>
      <c r="BB16" s="66">
        <f t="shared" si="61"/>
        <v>381.04020656584288</v>
      </c>
      <c r="BC16" s="68">
        <f t="shared" si="17"/>
        <v>10253000</v>
      </c>
      <c r="BD16" s="68">
        <f t="shared" si="18"/>
        <v>408.19837662683148</v>
      </c>
      <c r="BE16" s="68">
        <f t="shared" si="0"/>
        <v>-8.3108749649391598</v>
      </c>
      <c r="BF16" s="69">
        <f t="shared" si="19"/>
        <v>-2.1345452367215523E-2</v>
      </c>
      <c r="BG16" s="70" t="str" cm="1">
        <f t="array" ref="BG16">_xlfn.IFS(BF16&gt;0%,"Incremento",BF16=0%,"Stazionarietà",BF16&lt;0%,"Diminuzione")</f>
        <v>Diminuzione</v>
      </c>
      <c r="BH16" s="85" t="s">
        <v>545</v>
      </c>
      <c r="BI16" s="72" t="s">
        <v>180</v>
      </c>
      <c r="BJ16" s="73">
        <v>554</v>
      </c>
      <c r="BK16" s="73">
        <v>466.4</v>
      </c>
      <c r="BL16" s="73">
        <v>354</v>
      </c>
      <c r="BM16" s="74">
        <v>222.4</v>
      </c>
      <c r="BN16" s="74">
        <v>343</v>
      </c>
      <c r="BO16" s="74">
        <v>369.9</v>
      </c>
      <c r="BP16" s="73">
        <v>557</v>
      </c>
      <c r="BQ16" s="73">
        <v>396</v>
      </c>
      <c r="BR16" s="73">
        <v>421</v>
      </c>
      <c r="BS16" s="62">
        <f t="shared" si="20"/>
        <v>0.13168528642738292</v>
      </c>
      <c r="BT16" s="62">
        <f t="shared" si="21"/>
        <v>0.15059735227639651</v>
      </c>
      <c r="BU16" s="62">
        <f t="shared" si="22"/>
        <v>0.14591920857378401</v>
      </c>
      <c r="BV16" s="62">
        <f t="shared" si="23"/>
        <v>0.14976430976430977</v>
      </c>
      <c r="BW16" s="62">
        <f t="shared" si="24"/>
        <v>0.15017513134851138</v>
      </c>
      <c r="BX16" s="62">
        <f t="shared" si="25"/>
        <v>0.15061074918566775</v>
      </c>
      <c r="BY16" s="62">
        <f t="shared" si="55"/>
        <v>0.14997307485191169</v>
      </c>
      <c r="BZ16" s="62">
        <f t="shared" si="56"/>
        <v>0.1489841986455982</v>
      </c>
      <c r="CA16" s="62">
        <f t="shared" si="57"/>
        <v>0.15529324972334932</v>
      </c>
      <c r="CB16" s="62">
        <f t="shared" si="26"/>
        <v>3683.7000000000003</v>
      </c>
      <c r="CC16" s="62">
        <f t="shared" si="72"/>
        <v>0.14811139564410125</v>
      </c>
      <c r="CD16" s="75">
        <f t="shared" si="27"/>
        <v>2.36079632959664E-2</v>
      </c>
      <c r="CE16" s="69">
        <f t="shared" si="28"/>
        <v>0.1792756346320048</v>
      </c>
      <c r="CF16" s="70" t="str" cm="1">
        <f t="array" ref="CF16">_xlfn.IFS(CE16&gt;0%,"Incremento",CE16=0%,"Stazionarietà",CE16&lt;0%,"Diminuzione")</f>
        <v>Incremento</v>
      </c>
      <c r="CG16" s="73">
        <v>1139</v>
      </c>
      <c r="CH16" s="73">
        <v>1472</v>
      </c>
      <c r="CI16" s="73">
        <v>1590</v>
      </c>
      <c r="CJ16" s="74">
        <v>1503</v>
      </c>
      <c r="CK16" s="74">
        <v>1473.8</v>
      </c>
      <c r="CL16" s="74">
        <v>966.4</v>
      </c>
      <c r="CM16" s="73">
        <v>1099</v>
      </c>
      <c r="CN16" s="73">
        <v>1026</v>
      </c>
      <c r="CO16" s="73">
        <v>809</v>
      </c>
      <c r="CP16" s="73">
        <f t="shared" si="29"/>
        <v>0.27073924411694794</v>
      </c>
      <c r="CQ16" s="73">
        <f t="shared" si="30"/>
        <v>0.47529867613819826</v>
      </c>
      <c r="CR16" s="73">
        <f t="shared" si="31"/>
        <v>0.65539983511953837</v>
      </c>
      <c r="CS16" s="73">
        <f t="shared" si="32"/>
        <v>1.0121212121212122</v>
      </c>
      <c r="CT16" s="73">
        <f t="shared" si="33"/>
        <v>0.64527145359019267</v>
      </c>
      <c r="CU16" s="73">
        <f t="shared" si="34"/>
        <v>0.39348534201954394</v>
      </c>
      <c r="CV16" s="73">
        <f t="shared" si="67"/>
        <v>0.29590737749057622</v>
      </c>
      <c r="CW16" s="73">
        <f t="shared" si="58"/>
        <v>0.38600451467268621</v>
      </c>
      <c r="CX16" s="73">
        <f t="shared" si="62"/>
        <v>0.29841386942087789</v>
      </c>
      <c r="CY16" s="73">
        <f t="shared" si="35"/>
        <v>11078.2</v>
      </c>
      <c r="CZ16" s="73">
        <f t="shared" si="73"/>
        <v>0.49251572496553042</v>
      </c>
      <c r="DA16" s="74">
        <f t="shared" si="36"/>
        <v>2.7674625303929945E-2</v>
      </c>
      <c r="DB16" s="69">
        <f t="shared" si="71"/>
        <v>0.10221874333067005</v>
      </c>
      <c r="DC16" s="70" t="str" cm="1">
        <f t="array" ref="DC16">_xlfn.IFS(DB16&gt;0%,"Incremento",DB16=0%,"Stazionarietà",DB16&lt;0%,"Diminuzione")</f>
        <v>Incremento</v>
      </c>
      <c r="DD16" s="73">
        <v>5.0000000000000001E-3</v>
      </c>
      <c r="DE16" s="73">
        <v>22.1</v>
      </c>
      <c r="DF16" s="73">
        <v>0</v>
      </c>
      <c r="DG16" s="74">
        <v>0</v>
      </c>
      <c r="DH16" s="74">
        <v>0</v>
      </c>
      <c r="DI16" s="74">
        <v>0</v>
      </c>
      <c r="DJ16" s="73">
        <v>0</v>
      </c>
      <c r="DK16" s="73">
        <v>0</v>
      </c>
      <c r="DL16" s="73">
        <v>0</v>
      </c>
      <c r="DM16" s="87">
        <f t="shared" si="49"/>
        <v>1.1884953648680771E-6</v>
      </c>
      <c r="DN16" s="73">
        <f t="shared" si="50"/>
        <v>7.1359380045205043E-3</v>
      </c>
      <c r="DO16" s="73">
        <f>DF16/Q16</f>
        <v>0</v>
      </c>
      <c r="DP16" s="73">
        <f t="shared" si="52"/>
        <v>0</v>
      </c>
      <c r="DQ16" s="73">
        <f t="shared" si="53"/>
        <v>0</v>
      </c>
      <c r="DR16" s="73">
        <f t="shared" si="54"/>
        <v>0</v>
      </c>
      <c r="DS16" s="73">
        <f t="shared" ref="DS16:DS18" si="74">DJ16/AC16</f>
        <v>0</v>
      </c>
      <c r="DT16" s="73">
        <f t="shared" ref="DT16:DT18" si="75">DK16/AF16</f>
        <v>0</v>
      </c>
      <c r="DU16" s="73">
        <f t="shared" ref="DU16:DU18" si="76">DL16/AI16</f>
        <v>0</v>
      </c>
      <c r="DV16" s="73">
        <f t="shared" si="47"/>
        <v>22.105</v>
      </c>
      <c r="DW16" s="73">
        <f>(SUM(DM16:DU16))/2</f>
        <v>3.5685632499426862E-3</v>
      </c>
      <c r="DX16" s="80">
        <f>DU16-DM16</f>
        <v>-1.1884953648680771E-6</v>
      </c>
      <c r="DY16" s="70">
        <f>(DU16/DM16)-1</f>
        <v>-1</v>
      </c>
      <c r="DZ16" s="70" t="str" cm="1">
        <f t="array" ref="DZ16">_xlfn.IFS(DY16&gt;0%,"Incremento",DY16=0%,"Stazionarietà",DY16&lt;0%,"Diminuzione")</f>
        <v>Diminuzione</v>
      </c>
    </row>
    <row r="17" spans="1:130" x14ac:dyDescent="0.3">
      <c r="A17" s="88" t="s">
        <v>23</v>
      </c>
      <c r="B17" s="88" t="s">
        <v>24</v>
      </c>
      <c r="C17" s="89" t="s">
        <v>103</v>
      </c>
      <c r="D17" s="89">
        <v>2007001725</v>
      </c>
      <c r="E17" s="89" t="s">
        <v>89</v>
      </c>
      <c r="F17" s="48">
        <v>108</v>
      </c>
      <c r="G17" s="61" t="s">
        <v>151</v>
      </c>
      <c r="H17" s="61" t="s">
        <v>151</v>
      </c>
      <c r="I17" s="62">
        <v>0</v>
      </c>
      <c r="J17" s="62">
        <v>3282.47</v>
      </c>
      <c r="K17" s="62">
        <f t="shared" si="3"/>
        <v>3282.47</v>
      </c>
      <c r="L17" s="62">
        <v>0</v>
      </c>
      <c r="M17" s="62">
        <v>3079.636</v>
      </c>
      <c r="N17" s="62">
        <f t="shared" si="4"/>
        <v>3079.636</v>
      </c>
      <c r="O17" s="62">
        <v>0</v>
      </c>
      <c r="P17" s="62">
        <v>3020.5320000000002</v>
      </c>
      <c r="Q17" s="62">
        <f t="shared" si="5"/>
        <v>3020.5320000000002</v>
      </c>
      <c r="R17" s="62">
        <v>0</v>
      </c>
      <c r="S17" s="62">
        <v>2818.6660000000002</v>
      </c>
      <c r="T17" s="62">
        <f t="shared" si="6"/>
        <v>2818.6660000000002</v>
      </c>
      <c r="U17" s="62">
        <v>0</v>
      </c>
      <c r="V17" s="62">
        <v>2527.683</v>
      </c>
      <c r="W17" s="62">
        <f t="shared" si="7"/>
        <v>2527.683</v>
      </c>
      <c r="X17" s="62">
        <v>0</v>
      </c>
      <c r="Y17" s="62">
        <v>2808.0320000000002</v>
      </c>
      <c r="Z17" s="62">
        <f t="shared" si="8"/>
        <v>2808.0320000000002</v>
      </c>
      <c r="AA17" s="63">
        <v>0</v>
      </c>
      <c r="AB17" s="62">
        <v>1991.59</v>
      </c>
      <c r="AC17" s="62">
        <f t="shared" si="9"/>
        <v>1991.59</v>
      </c>
      <c r="AD17" s="63">
        <v>0</v>
      </c>
      <c r="AE17" s="62">
        <v>1891.546</v>
      </c>
      <c r="AF17" s="62">
        <f t="shared" si="38"/>
        <v>1891.546</v>
      </c>
      <c r="AG17" s="62">
        <v>0</v>
      </c>
      <c r="AH17" s="63">
        <v>809.71500000000003</v>
      </c>
      <c r="AI17" s="62">
        <f t="shared" si="10"/>
        <v>809.71500000000003</v>
      </c>
      <c r="AJ17" s="64" t="s">
        <v>537</v>
      </c>
      <c r="AK17" s="65">
        <v>2983864</v>
      </c>
      <c r="AL17" s="65">
        <v>2875366</v>
      </c>
      <c r="AM17" s="65">
        <v>2999937</v>
      </c>
      <c r="AN17" s="83">
        <v>2741860</v>
      </c>
      <c r="AO17" s="83">
        <v>2532872</v>
      </c>
      <c r="AP17" s="83">
        <v>2831877</v>
      </c>
      <c r="AQ17" s="65">
        <v>2019990</v>
      </c>
      <c r="AR17" s="65">
        <v>1928640</v>
      </c>
      <c r="AS17" s="65">
        <v>799255</v>
      </c>
      <c r="AT17" s="66">
        <f t="shared" si="11"/>
        <v>909.03009014553072</v>
      </c>
      <c r="AU17" s="66">
        <f t="shared" si="12"/>
        <v>933.67073251514137</v>
      </c>
      <c r="AV17" s="66">
        <f t="shared" si="13"/>
        <v>993.18166468688287</v>
      </c>
      <c r="AW17" s="66">
        <f t="shared" si="14"/>
        <v>972.7509396288882</v>
      </c>
      <c r="AX17" s="66">
        <f t="shared" si="15"/>
        <v>1002.0528681800685</v>
      </c>
      <c r="AY17" s="66">
        <f t="shared" si="16"/>
        <v>1008.4917123451584</v>
      </c>
      <c r="AZ17" s="66">
        <f t="shared" si="59"/>
        <v>1014.2599631450249</v>
      </c>
      <c r="BA17" s="66">
        <f t="shared" si="60"/>
        <v>1019.6104139153898</v>
      </c>
      <c r="BB17" s="66">
        <f t="shared" si="61"/>
        <v>987.08187448670208</v>
      </c>
      <c r="BC17" s="68">
        <f t="shared" si="17"/>
        <v>21713661</v>
      </c>
      <c r="BD17" s="68">
        <f t="shared" si="18"/>
        <v>982.23669544986524</v>
      </c>
      <c r="BE17" s="68">
        <f t="shared" si="0"/>
        <v>78.051784341171356</v>
      </c>
      <c r="BF17" s="69">
        <f t="shared" si="19"/>
        <v>8.5862707062508425E-2</v>
      </c>
      <c r="BG17" s="70" t="str" cm="1">
        <f t="array" ref="BG17">_xlfn.IFS(BF17&gt;0%,"Incremento",BF17=0%,"Stazionarietà",BF17&lt;0%,"Diminuzione")</f>
        <v>Incremento</v>
      </c>
      <c r="BH17" s="71" t="s">
        <v>157</v>
      </c>
      <c r="BI17" s="72" t="s">
        <v>181</v>
      </c>
      <c r="BJ17" s="73">
        <v>2322</v>
      </c>
      <c r="BK17" s="73">
        <v>2278</v>
      </c>
      <c r="BL17" s="73">
        <v>2275</v>
      </c>
      <c r="BM17" s="74">
        <v>1962</v>
      </c>
      <c r="BN17" s="74">
        <v>1599</v>
      </c>
      <c r="BO17" s="74">
        <v>1524</v>
      </c>
      <c r="BP17" s="73">
        <v>919</v>
      </c>
      <c r="BQ17" s="73">
        <v>949</v>
      </c>
      <c r="BR17" s="73">
        <v>470</v>
      </c>
      <c r="BS17" s="62">
        <f t="shared" si="20"/>
        <v>0.70739412698364346</v>
      </c>
      <c r="BT17" s="62">
        <f t="shared" si="21"/>
        <v>0.73969780844229649</v>
      </c>
      <c r="BU17" s="62">
        <f t="shared" si="22"/>
        <v>0.7531785791377148</v>
      </c>
      <c r="BV17" s="62">
        <f t="shared" si="23"/>
        <v>0.69607395839024555</v>
      </c>
      <c r="BW17" s="62">
        <f t="shared" si="24"/>
        <v>0.63259514741365908</v>
      </c>
      <c r="BX17" s="62">
        <f t="shared" si="25"/>
        <v>0.54272885779079438</v>
      </c>
      <c r="BY17" s="62">
        <f t="shared" si="55"/>
        <v>0.46144035669992317</v>
      </c>
      <c r="BZ17" s="62">
        <f t="shared" si="56"/>
        <v>0.50170601190771991</v>
      </c>
      <c r="CA17" s="62">
        <f t="shared" si="57"/>
        <v>0.58045114639101414</v>
      </c>
      <c r="CB17" s="62">
        <f t="shared" si="26"/>
        <v>14298</v>
      </c>
      <c r="CC17" s="62">
        <f t="shared" si="72"/>
        <v>0.62391844368411231</v>
      </c>
      <c r="CD17" s="75">
        <f t="shared" si="27"/>
        <v>-0.12694298059262932</v>
      </c>
      <c r="CE17" s="69">
        <f t="shared" si="28"/>
        <v>-0.17945156137204477</v>
      </c>
      <c r="CF17" s="70" t="str" cm="1">
        <f t="array" ref="CF17">_xlfn.IFS(CE17&gt;0%,"Incremento",CE17=0%,"Stazionarietà",CE17&lt;0%,"Diminuzione")</f>
        <v>Diminuzione</v>
      </c>
      <c r="CG17" s="73">
        <v>1084</v>
      </c>
      <c r="CH17" s="73">
        <v>1319</v>
      </c>
      <c r="CI17" s="73">
        <v>1158</v>
      </c>
      <c r="CJ17" s="74">
        <v>1087</v>
      </c>
      <c r="CK17" s="74">
        <v>775</v>
      </c>
      <c r="CL17" s="74">
        <v>474</v>
      </c>
      <c r="CM17" s="73">
        <v>366</v>
      </c>
      <c r="CN17" s="73">
        <v>304</v>
      </c>
      <c r="CO17" s="73">
        <v>125</v>
      </c>
      <c r="CP17" s="73">
        <f t="shared" si="29"/>
        <v>0.33023911871243306</v>
      </c>
      <c r="CQ17" s="73">
        <f t="shared" si="30"/>
        <v>0.42829737020868702</v>
      </c>
      <c r="CR17" s="73">
        <f t="shared" si="31"/>
        <v>0.38337617346877967</v>
      </c>
      <c r="CS17" s="73">
        <f t="shared" si="32"/>
        <v>0.38564342139153768</v>
      </c>
      <c r="CT17" s="73">
        <f t="shared" si="33"/>
        <v>0.30660490259261147</v>
      </c>
      <c r="CU17" s="73">
        <f t="shared" si="34"/>
        <v>0.16880149513965653</v>
      </c>
      <c r="CV17" s="73">
        <f t="shared" si="67"/>
        <v>0.18377276447461577</v>
      </c>
      <c r="CW17" s="73">
        <f t="shared" si="58"/>
        <v>0.16071509759741501</v>
      </c>
      <c r="CX17" s="73">
        <f t="shared" si="62"/>
        <v>0.15437530489122717</v>
      </c>
      <c r="CY17" s="73">
        <f t="shared" si="35"/>
        <v>6692</v>
      </c>
      <c r="CZ17" s="73">
        <f t="shared" si="73"/>
        <v>0.27798062760855152</v>
      </c>
      <c r="DA17" s="74">
        <f t="shared" si="36"/>
        <v>-0.17586381382120589</v>
      </c>
      <c r="DB17" s="69">
        <f t="shared" si="71"/>
        <v>-0.53253477209750333</v>
      </c>
      <c r="DC17" s="70" t="str" cm="1">
        <f t="array" ref="DC17">_xlfn.IFS(DB17&gt;0%,"Incremento",DB17=0%,"Stazionarietà",DB17&lt;0%,"Diminuzione")</f>
        <v>Diminuzione</v>
      </c>
      <c r="DD17" s="73">
        <v>3220</v>
      </c>
      <c r="DE17" s="73">
        <v>3168</v>
      </c>
      <c r="DF17" s="73">
        <v>2924</v>
      </c>
      <c r="DG17" s="74">
        <v>2098</v>
      </c>
      <c r="DH17" s="74">
        <v>1403</v>
      </c>
      <c r="DI17" s="74">
        <v>1225</v>
      </c>
      <c r="DJ17" s="73">
        <v>870</v>
      </c>
      <c r="DK17" s="73">
        <v>953</v>
      </c>
      <c r="DL17" s="73">
        <v>454</v>
      </c>
      <c r="DM17" s="73">
        <f t="shared" si="49"/>
        <v>0.98096859986534535</v>
      </c>
      <c r="DN17" s="73">
        <f t="shared" si="50"/>
        <v>1.0286930013806828</v>
      </c>
      <c r="DO17" s="73">
        <f t="shared" si="51"/>
        <v>0.96804139138403433</v>
      </c>
      <c r="DP17" s="73">
        <f t="shared" si="52"/>
        <v>0.744323733283759</v>
      </c>
      <c r="DQ17" s="73">
        <f t="shared" si="53"/>
        <v>0.55505377849991477</v>
      </c>
      <c r="DR17" s="73">
        <f t="shared" si="54"/>
        <v>0.43624858975966085</v>
      </c>
      <c r="DS17" s="73">
        <f t="shared" si="74"/>
        <v>0.4368368991609719</v>
      </c>
      <c r="DT17" s="73">
        <f t="shared" si="75"/>
        <v>0.50382068424452797</v>
      </c>
      <c r="DU17" s="73">
        <f t="shared" si="76"/>
        <v>0.56069110736493699</v>
      </c>
      <c r="DV17" s="73">
        <f t="shared" si="47"/>
        <v>16315</v>
      </c>
      <c r="DW17" s="73">
        <f>(SUM(DM17:DU17))/9</f>
        <v>0.69051975388264819</v>
      </c>
      <c r="DX17" s="80">
        <f t="shared" si="48"/>
        <v>-0.42027749250040836</v>
      </c>
      <c r="DY17" s="70">
        <f>(DU17/DM17)-1</f>
        <v>-0.42843113689683709</v>
      </c>
      <c r="DZ17" s="70" t="str" cm="1">
        <f t="array" ref="DZ17">_xlfn.IFS(DY17&gt;0%,"Incremento",DY17=0%,"Stazionarietà",DY17&lt;0%,"Diminuzione")</f>
        <v>Diminuzione</v>
      </c>
    </row>
    <row r="18" spans="1:130" x14ac:dyDescent="0.3">
      <c r="A18" s="88" t="s">
        <v>25</v>
      </c>
      <c r="B18" s="88" t="s">
        <v>26</v>
      </c>
      <c r="C18" s="89" t="s">
        <v>104</v>
      </c>
      <c r="D18" s="89">
        <v>2007001746</v>
      </c>
      <c r="E18" s="89" t="s">
        <v>89</v>
      </c>
      <c r="F18" s="48">
        <v>980</v>
      </c>
      <c r="G18" s="61">
        <v>0</v>
      </c>
      <c r="H18" s="61">
        <v>599</v>
      </c>
      <c r="I18" s="62">
        <v>0</v>
      </c>
      <c r="J18" s="62">
        <v>4056</v>
      </c>
      <c r="K18" s="62">
        <f t="shared" si="3"/>
        <v>4056</v>
      </c>
      <c r="L18" s="62">
        <v>0</v>
      </c>
      <c r="M18" s="62">
        <v>3794</v>
      </c>
      <c r="N18" s="62">
        <f t="shared" si="4"/>
        <v>3794</v>
      </c>
      <c r="O18" s="62">
        <v>0</v>
      </c>
      <c r="P18" s="62">
        <v>3461</v>
      </c>
      <c r="Q18" s="62">
        <f t="shared" si="5"/>
        <v>3461</v>
      </c>
      <c r="R18" s="62">
        <v>0</v>
      </c>
      <c r="S18" s="62">
        <v>3186</v>
      </c>
      <c r="T18" s="62">
        <f t="shared" si="6"/>
        <v>3186</v>
      </c>
      <c r="U18" s="62">
        <v>0</v>
      </c>
      <c r="V18" s="62">
        <v>2317</v>
      </c>
      <c r="W18" s="62">
        <f t="shared" si="7"/>
        <v>2317</v>
      </c>
      <c r="X18" s="62">
        <v>0</v>
      </c>
      <c r="Y18" s="62">
        <v>2454</v>
      </c>
      <c r="Z18" s="62">
        <f t="shared" si="8"/>
        <v>2454</v>
      </c>
      <c r="AA18" s="63">
        <v>0</v>
      </c>
      <c r="AB18" s="62">
        <v>3565</v>
      </c>
      <c r="AC18" s="62">
        <f t="shared" si="9"/>
        <v>3565</v>
      </c>
      <c r="AD18" s="63">
        <v>0</v>
      </c>
      <c r="AE18" s="62">
        <v>3197</v>
      </c>
      <c r="AF18" s="62">
        <f t="shared" si="38"/>
        <v>3197</v>
      </c>
      <c r="AG18" s="63">
        <v>0</v>
      </c>
      <c r="AH18" s="62">
        <v>3331</v>
      </c>
      <c r="AI18" s="62">
        <f t="shared" si="10"/>
        <v>3331</v>
      </c>
      <c r="AJ18" s="64" t="s">
        <v>537</v>
      </c>
      <c r="AK18" s="65">
        <v>3898000</v>
      </c>
      <c r="AL18" s="65">
        <v>3588000</v>
      </c>
      <c r="AM18" s="65">
        <v>3482000</v>
      </c>
      <c r="AN18" s="79">
        <v>3188000</v>
      </c>
      <c r="AO18" s="79">
        <v>2404000</v>
      </c>
      <c r="AP18" s="79">
        <v>2535000</v>
      </c>
      <c r="AQ18" s="65">
        <v>3514000</v>
      </c>
      <c r="AR18" s="65">
        <v>3160000</v>
      </c>
      <c r="AS18" s="65">
        <v>3318000</v>
      </c>
      <c r="AT18" s="66">
        <f t="shared" si="11"/>
        <v>961.04536489151872</v>
      </c>
      <c r="AU18" s="66">
        <f t="shared" si="12"/>
        <v>945.70374275171321</v>
      </c>
      <c r="AV18" s="66">
        <f t="shared" si="13"/>
        <v>1006.0676105171916</v>
      </c>
      <c r="AW18" s="66">
        <f t="shared" si="14"/>
        <v>1000.6277463904582</v>
      </c>
      <c r="AX18" s="66">
        <f t="shared" si="15"/>
        <v>1037.5485541648684</v>
      </c>
      <c r="AY18" s="66">
        <f t="shared" si="16"/>
        <v>1033.0073349633251</v>
      </c>
      <c r="AZ18" s="66">
        <f>AQ18/AC18</f>
        <v>985.69424964936889</v>
      </c>
      <c r="BA18" s="66">
        <f t="shared" si="60"/>
        <v>988.42664998436032</v>
      </c>
      <c r="BB18" s="66">
        <f t="shared" si="61"/>
        <v>996.0972680876614</v>
      </c>
      <c r="BC18" s="68">
        <f t="shared" si="17"/>
        <v>29087000</v>
      </c>
      <c r="BD18" s="68">
        <f t="shared" si="18"/>
        <v>994.91316904449616</v>
      </c>
      <c r="BE18" s="68">
        <f t="shared" si="0"/>
        <v>35.051903196142689</v>
      </c>
      <c r="BF18" s="69">
        <f t="shared" si="19"/>
        <v>3.6472683264123784E-2</v>
      </c>
      <c r="BG18" s="70" t="str" cm="1">
        <f t="array" ref="BG18">_xlfn.IFS(BF18&gt;0%,"Incremento",BF18=0%,"Stazionarietà",BF18&lt;0%,"Diminuzione")</f>
        <v>Incremento</v>
      </c>
      <c r="BH18" s="90" t="s">
        <v>158</v>
      </c>
      <c r="BI18" s="72" t="s">
        <v>181</v>
      </c>
      <c r="BJ18" s="73">
        <v>2824</v>
      </c>
      <c r="BK18" s="73">
        <v>2722</v>
      </c>
      <c r="BL18" s="73">
        <v>1519</v>
      </c>
      <c r="BM18" s="74">
        <v>2433</v>
      </c>
      <c r="BN18" s="74">
        <v>1609</v>
      </c>
      <c r="BO18" s="74">
        <v>1617</v>
      </c>
      <c r="BP18" s="73">
        <v>2271</v>
      </c>
      <c r="BQ18" s="73">
        <v>2037</v>
      </c>
      <c r="BR18" s="73">
        <v>2147</v>
      </c>
      <c r="BS18" s="62">
        <f t="shared" si="20"/>
        <v>0.69625246548323472</v>
      </c>
      <c r="BT18" s="62">
        <f t="shared" si="21"/>
        <v>0.71744860305745917</v>
      </c>
      <c r="BU18" s="62">
        <f t="shared" si="22"/>
        <v>0.43889049407685637</v>
      </c>
      <c r="BV18" s="62">
        <f t="shared" si="23"/>
        <v>0.76365348399246702</v>
      </c>
      <c r="BW18" s="62">
        <f t="shared" si="24"/>
        <v>0.69443245576176094</v>
      </c>
      <c r="BX18" s="62">
        <f t="shared" si="25"/>
        <v>0.65892420537897312</v>
      </c>
      <c r="BY18" s="62">
        <f t="shared" si="55"/>
        <v>0.63702664796633945</v>
      </c>
      <c r="BZ18" s="62">
        <f t="shared" si="56"/>
        <v>0.63715983734751325</v>
      </c>
      <c r="CA18" s="62">
        <f t="shared" si="57"/>
        <v>0.64455118583008109</v>
      </c>
      <c r="CB18" s="62">
        <f t="shared" si="26"/>
        <v>19179</v>
      </c>
      <c r="CC18" s="62">
        <f t="shared" si="72"/>
        <v>0.65425993098829838</v>
      </c>
      <c r="CD18" s="75">
        <f t="shared" si="27"/>
        <v>-5.1701279653153631E-2</v>
      </c>
      <c r="CE18" s="69">
        <f t="shared" si="28"/>
        <v>-7.4256512136399166E-2</v>
      </c>
      <c r="CF18" s="70" t="str" cm="1">
        <f t="array" ref="CF18">_xlfn.IFS(CE18&gt;0%,"Incremento",CE18=0%,"Stazionarietà",CE18&lt;0%,"Diminuzione")</f>
        <v>Diminuzione</v>
      </c>
      <c r="CG18" s="73">
        <v>84</v>
      </c>
      <c r="CH18" s="73">
        <v>88</v>
      </c>
      <c r="CI18" s="73">
        <v>35</v>
      </c>
      <c r="CJ18" s="74">
        <v>40</v>
      </c>
      <c r="CK18" s="74">
        <v>1</v>
      </c>
      <c r="CL18" s="74">
        <v>1</v>
      </c>
      <c r="CM18" s="73">
        <v>1</v>
      </c>
      <c r="CN18" s="73">
        <v>1</v>
      </c>
      <c r="CO18" s="73">
        <v>1</v>
      </c>
      <c r="CP18" s="73">
        <f t="shared" si="29"/>
        <v>2.0710059171597635E-2</v>
      </c>
      <c r="CQ18" s="73">
        <f t="shared" si="30"/>
        <v>2.3194517659462309E-2</v>
      </c>
      <c r="CR18" s="73">
        <f t="shared" si="31"/>
        <v>1.0112684195319271E-2</v>
      </c>
      <c r="CS18" s="73">
        <f t="shared" si="32"/>
        <v>1.2554927809165096E-2</v>
      </c>
      <c r="CT18" s="73">
        <f t="shared" si="33"/>
        <v>4.3159257660768235E-4</v>
      </c>
      <c r="CU18" s="73">
        <f t="shared" si="34"/>
        <v>4.0749796251018743E-4</v>
      </c>
      <c r="CV18" s="73">
        <f t="shared" si="67"/>
        <v>2.8050490883590464E-4</v>
      </c>
      <c r="CW18" s="73">
        <f t="shared" si="58"/>
        <v>3.1279324366593683E-4</v>
      </c>
      <c r="CX18" s="73">
        <f t="shared" si="62"/>
        <v>3.0021014710297208E-4</v>
      </c>
      <c r="CY18" s="73">
        <f t="shared" si="35"/>
        <v>252</v>
      </c>
      <c r="CZ18" s="73">
        <f t="shared" si="73"/>
        <v>7.589420852696334E-3</v>
      </c>
      <c r="DA18" s="74">
        <f t="shared" si="36"/>
        <v>-2.0409849024494664E-2</v>
      </c>
      <c r="DB18" s="69">
        <f t="shared" si="71"/>
        <v>-0.98550413861131358</v>
      </c>
      <c r="DC18" s="70" t="str" cm="1">
        <f t="array" ref="DC18">_xlfn.IFS(DB18&gt;0%,"Incremento",DB18=0%,"Stazionarietà",DB18&lt;0%,"Diminuzione")</f>
        <v>Diminuzione</v>
      </c>
      <c r="DD18" s="73">
        <v>3218</v>
      </c>
      <c r="DE18" s="73">
        <v>3728</v>
      </c>
      <c r="DF18" s="73">
        <v>3295</v>
      </c>
      <c r="DG18" s="74">
        <v>2922</v>
      </c>
      <c r="DH18" s="74">
        <v>1899</v>
      </c>
      <c r="DI18" s="74">
        <v>1360</v>
      </c>
      <c r="DJ18" s="73">
        <v>1765</v>
      </c>
      <c r="DK18" s="73">
        <v>1400</v>
      </c>
      <c r="DL18" s="73">
        <v>1794</v>
      </c>
      <c r="DM18" s="73">
        <f t="shared" si="49"/>
        <v>0.79339250493096647</v>
      </c>
      <c r="DN18" s="73">
        <f t="shared" si="50"/>
        <v>0.9826041117554033</v>
      </c>
      <c r="DO18" s="73">
        <f t="shared" si="51"/>
        <v>0.95203698353077149</v>
      </c>
      <c r="DP18" s="73">
        <f t="shared" si="52"/>
        <v>0.91713747645951038</v>
      </c>
      <c r="DQ18" s="73">
        <f t="shared" si="53"/>
        <v>0.81959430297798874</v>
      </c>
      <c r="DR18" s="73">
        <f t="shared" si="54"/>
        <v>0.55419722901385493</v>
      </c>
      <c r="DS18" s="73">
        <f t="shared" si="74"/>
        <v>0.49509116409537168</v>
      </c>
      <c r="DT18" s="73">
        <f t="shared" si="75"/>
        <v>0.43791054113231154</v>
      </c>
      <c r="DU18" s="73">
        <f t="shared" si="76"/>
        <v>0.53857700390273189</v>
      </c>
      <c r="DV18" s="73">
        <f t="shared" si="47"/>
        <v>21381</v>
      </c>
      <c r="DW18" s="73">
        <f>(SUM(DM18:DU18))/9</f>
        <v>0.72117125753321221</v>
      </c>
      <c r="DX18" s="80">
        <f t="shared" si="48"/>
        <v>-0.25481550102823458</v>
      </c>
      <c r="DY18" s="70">
        <f>(DU18/DM18)-1</f>
        <v>-0.32117205474534471</v>
      </c>
      <c r="DZ18" s="70" t="str" cm="1">
        <f t="array" ref="DZ18">_xlfn.IFS(DY18&gt;0%,"Incremento",DY18=0%,"Stazionarietà",DY18&lt;0%,"Diminuzione")</f>
        <v>Diminuzione</v>
      </c>
    </row>
    <row r="19" spans="1:130" x14ac:dyDescent="0.3">
      <c r="A19" s="88" t="s">
        <v>27</v>
      </c>
      <c r="B19" s="88" t="s">
        <v>28</v>
      </c>
      <c r="C19" s="89" t="s">
        <v>105</v>
      </c>
      <c r="D19" s="89">
        <v>2007001701</v>
      </c>
      <c r="E19" s="89" t="s">
        <v>89</v>
      </c>
      <c r="F19" s="48">
        <v>551</v>
      </c>
      <c r="G19" s="61">
        <v>0</v>
      </c>
      <c r="H19" s="61">
        <v>740</v>
      </c>
      <c r="I19" s="62">
        <v>0</v>
      </c>
      <c r="J19" s="62">
        <v>2778</v>
      </c>
      <c r="K19" s="62">
        <f t="shared" si="3"/>
        <v>2778</v>
      </c>
      <c r="L19" s="62">
        <v>0</v>
      </c>
      <c r="M19" s="62">
        <v>1482</v>
      </c>
      <c r="N19" s="62">
        <f t="shared" si="4"/>
        <v>1482</v>
      </c>
      <c r="O19" s="62">
        <v>0</v>
      </c>
      <c r="P19" s="62">
        <v>189.7</v>
      </c>
      <c r="Q19" s="62">
        <f t="shared" si="5"/>
        <v>189.7</v>
      </c>
      <c r="R19" s="62">
        <v>0</v>
      </c>
      <c r="S19" s="62">
        <v>69.099999999999994</v>
      </c>
      <c r="T19" s="62">
        <f t="shared" si="6"/>
        <v>69.099999999999994</v>
      </c>
      <c r="U19" s="62">
        <v>0</v>
      </c>
      <c r="V19" s="62">
        <v>91.1</v>
      </c>
      <c r="W19" s="62">
        <f t="shared" si="7"/>
        <v>91.1</v>
      </c>
      <c r="X19" s="62">
        <v>0</v>
      </c>
      <c r="Y19" s="62">
        <v>1072.0999999999999</v>
      </c>
      <c r="Z19" s="62">
        <f t="shared" si="8"/>
        <v>1072.0999999999999</v>
      </c>
      <c r="AA19" s="63">
        <v>0</v>
      </c>
      <c r="AB19" s="62">
        <v>1038.6690000000001</v>
      </c>
      <c r="AC19" s="62">
        <f t="shared" si="9"/>
        <v>1038.6690000000001</v>
      </c>
      <c r="AD19" s="63">
        <v>0</v>
      </c>
      <c r="AE19" s="62">
        <v>899.34299999999996</v>
      </c>
      <c r="AF19" s="62">
        <f t="shared" si="38"/>
        <v>899.34299999999996</v>
      </c>
      <c r="AG19" s="63">
        <v>0</v>
      </c>
      <c r="AH19" s="62">
        <v>2233.203</v>
      </c>
      <c r="AI19" s="62">
        <f t="shared" si="10"/>
        <v>2233.203</v>
      </c>
      <c r="AJ19" s="64" t="s">
        <v>547</v>
      </c>
      <c r="AK19" s="65">
        <v>1068374</v>
      </c>
      <c r="AL19" s="65">
        <v>574319</v>
      </c>
      <c r="AM19" s="65">
        <v>80982</v>
      </c>
      <c r="AN19" s="79">
        <v>31513</v>
      </c>
      <c r="AO19" s="79">
        <v>44779</v>
      </c>
      <c r="AP19" s="79">
        <v>420820</v>
      </c>
      <c r="AQ19" s="65">
        <v>410688</v>
      </c>
      <c r="AR19" s="65">
        <v>348863</v>
      </c>
      <c r="AS19" s="65">
        <v>879052</v>
      </c>
      <c r="AT19" s="66">
        <f t="shared" si="11"/>
        <v>384.58387329013681</v>
      </c>
      <c r="AU19" s="66">
        <f t="shared" si="12"/>
        <v>387.529689608637</v>
      </c>
      <c r="AV19" s="66">
        <f t="shared" si="13"/>
        <v>426.89509752240383</v>
      </c>
      <c r="AW19" s="66">
        <f t="shared" si="14"/>
        <v>456.04920405209845</v>
      </c>
      <c r="AX19" s="66">
        <f t="shared" si="15"/>
        <v>491.53677277716798</v>
      </c>
      <c r="AY19" s="66">
        <f t="shared" si="16"/>
        <v>392.51935453782301</v>
      </c>
      <c r="AZ19" s="66">
        <f>AQ19/AC19</f>
        <v>395.39834153132517</v>
      </c>
      <c r="BA19" s="66">
        <f t="shared" si="60"/>
        <v>387.90872892767277</v>
      </c>
      <c r="BB19" s="66">
        <f t="shared" si="61"/>
        <v>393.62834457951203</v>
      </c>
      <c r="BC19" s="68">
        <f t="shared" si="17"/>
        <v>3859390</v>
      </c>
      <c r="BD19" s="68">
        <f t="shared" si="18"/>
        <v>412.89437853630852</v>
      </c>
      <c r="BE19" s="68">
        <f t="shared" si="0"/>
        <v>9.0444712893752239</v>
      </c>
      <c r="BF19" s="69">
        <f t="shared" si="19"/>
        <v>2.3517552132384711E-2</v>
      </c>
      <c r="BG19" s="70" t="str" cm="1">
        <f t="array" ref="BG19">_xlfn.IFS(BF19&gt;0%,"Incremento",BF19=0%,"Stazionarietà",BF19&lt;0%,"Diminuzione")</f>
        <v>Incremento</v>
      </c>
      <c r="BH19" s="71" t="s">
        <v>548</v>
      </c>
      <c r="BI19" s="72" t="s">
        <v>180</v>
      </c>
      <c r="BJ19" s="73">
        <v>244</v>
      </c>
      <c r="BK19" s="73">
        <v>121</v>
      </c>
      <c r="BL19" s="73">
        <v>15.2</v>
      </c>
      <c r="BM19" s="74">
        <v>7.4</v>
      </c>
      <c r="BN19" s="74">
        <v>12.2</v>
      </c>
      <c r="BO19" s="74">
        <v>90.2</v>
      </c>
      <c r="BP19" s="73">
        <v>105.2</v>
      </c>
      <c r="BQ19" s="73">
        <v>87</v>
      </c>
      <c r="BR19" s="73">
        <v>247.4</v>
      </c>
      <c r="BS19" s="62">
        <f t="shared" si="20"/>
        <v>8.7832973362131028E-2</v>
      </c>
      <c r="BT19" s="62">
        <f t="shared" si="21"/>
        <v>8.1646423751686903E-2</v>
      </c>
      <c r="BU19" s="62">
        <f t="shared" si="22"/>
        <v>8.012651555086979E-2</v>
      </c>
      <c r="BV19" s="62">
        <f t="shared" si="23"/>
        <v>0.10709117221418236</v>
      </c>
      <c r="BW19" s="62">
        <f t="shared" si="24"/>
        <v>0.13391877058177826</v>
      </c>
      <c r="BX19" s="62">
        <f t="shared" si="25"/>
        <v>8.4133942729223032E-2</v>
      </c>
      <c r="BY19" s="62">
        <f t="shared" si="55"/>
        <v>0.10128346951723792</v>
      </c>
      <c r="BZ19" s="62">
        <f>BQ19/AF19</f>
        <v>9.6737284884632457E-2</v>
      </c>
      <c r="CA19" s="62">
        <f t="shared" si="57"/>
        <v>0.11078258447619854</v>
      </c>
      <c r="CB19" s="62">
        <f t="shared" si="26"/>
        <v>929.59999999999991</v>
      </c>
      <c r="CC19" s="62">
        <f t="shared" si="72"/>
        <v>9.8172570785326679E-2</v>
      </c>
      <c r="CD19" s="75">
        <f t="shared" si="27"/>
        <v>2.2949611114067514E-2</v>
      </c>
      <c r="CE19" s="69">
        <f t="shared" si="28"/>
        <v>0.26128696588065381</v>
      </c>
      <c r="CF19" s="70" t="str" cm="1">
        <f t="array" ref="CF19">_xlfn.IFS(CE19&gt;0%,"Incremento",CE19=0%,"Stazionarietà",CE19&lt;0%,"Diminuzione")</f>
        <v>Incremento</v>
      </c>
      <c r="CG19" s="73">
        <v>36.200000000000003</v>
      </c>
      <c r="CH19" s="73">
        <v>27.4</v>
      </c>
      <c r="CI19" s="73">
        <v>4.5999999999999996</v>
      </c>
      <c r="CJ19" s="74">
        <v>2.9</v>
      </c>
      <c r="CK19" s="74">
        <v>4</v>
      </c>
      <c r="CL19" s="74">
        <v>21.1</v>
      </c>
      <c r="CM19" s="73">
        <v>21.7</v>
      </c>
      <c r="CN19" s="73">
        <v>12.7</v>
      </c>
      <c r="CO19" s="73">
        <v>42.7</v>
      </c>
      <c r="CP19" s="73">
        <f t="shared" si="29"/>
        <v>1.303095752339813E-2</v>
      </c>
      <c r="CQ19" s="73">
        <f t="shared" si="30"/>
        <v>1.8488529014844803E-2</v>
      </c>
      <c r="CR19" s="73">
        <f t="shared" si="31"/>
        <v>2.4248813916710594E-2</v>
      </c>
      <c r="CS19" s="73">
        <f t="shared" si="32"/>
        <v>4.1968162083936326E-2</v>
      </c>
      <c r="CT19" s="73">
        <f t="shared" si="33"/>
        <v>4.3907793633369926E-2</v>
      </c>
      <c r="CU19" s="73">
        <f t="shared" si="34"/>
        <v>1.9680999906725123E-2</v>
      </c>
      <c r="CV19" s="73">
        <f t="shared" si="67"/>
        <v>2.0892122514487289E-2</v>
      </c>
      <c r="CW19" s="73">
        <f t="shared" si="58"/>
        <v>1.4121419747526806E-2</v>
      </c>
      <c r="CX19" s="73">
        <f t="shared" si="62"/>
        <v>1.9120518824307511E-2</v>
      </c>
      <c r="CY19" s="73">
        <f t="shared" si="35"/>
        <v>173.3</v>
      </c>
      <c r="CZ19" s="73">
        <f t="shared" si="73"/>
        <v>2.3939924129478502E-2</v>
      </c>
      <c r="DA19" s="74">
        <f t="shared" si="36"/>
        <v>6.089561300909381E-3</v>
      </c>
      <c r="DB19" s="69">
        <f t="shared" si="71"/>
        <v>0.46731495287089109</v>
      </c>
      <c r="DC19" s="70" t="str" cm="1">
        <f t="array" ref="DC19">_xlfn.IFS(DB19&gt;0%,"Incremento",DB19=0%,"Stazionarietà",DB19&lt;0%,"Diminuzione")</f>
        <v>Incremento</v>
      </c>
      <c r="DD19" s="73" t="s">
        <v>151</v>
      </c>
      <c r="DE19" s="73" t="s">
        <v>151</v>
      </c>
      <c r="DF19" s="73" t="s">
        <v>151</v>
      </c>
      <c r="DG19" s="74" t="s">
        <v>151</v>
      </c>
      <c r="DH19" s="74" t="s">
        <v>151</v>
      </c>
      <c r="DI19" s="74" t="s">
        <v>151</v>
      </c>
      <c r="DJ19" s="73" t="s">
        <v>151</v>
      </c>
      <c r="DK19" s="73" t="s">
        <v>151</v>
      </c>
      <c r="DL19" s="73" t="s">
        <v>151</v>
      </c>
      <c r="DM19" s="73" t="s">
        <v>151</v>
      </c>
      <c r="DN19" s="73" t="s">
        <v>151</v>
      </c>
      <c r="DO19" s="73" t="s">
        <v>151</v>
      </c>
      <c r="DP19" s="73" t="s">
        <v>151</v>
      </c>
      <c r="DQ19" s="73" t="s">
        <v>151</v>
      </c>
      <c r="DR19" s="73" t="s">
        <v>151</v>
      </c>
      <c r="DS19" s="73" t="s">
        <v>151</v>
      </c>
      <c r="DT19" s="73" t="s">
        <v>151</v>
      </c>
      <c r="DU19" s="73" t="s">
        <v>151</v>
      </c>
      <c r="DV19" s="73">
        <f t="shared" si="47"/>
        <v>0</v>
      </c>
      <c r="DW19" s="73">
        <f t="shared" si="37"/>
        <v>0</v>
      </c>
      <c r="DX19" s="74" t="s">
        <v>151</v>
      </c>
      <c r="DY19" s="70" t="s">
        <v>151</v>
      </c>
      <c r="DZ19" s="70" t="s">
        <v>151</v>
      </c>
    </row>
    <row r="20" spans="1:130" x14ac:dyDescent="0.3">
      <c r="A20" s="88" t="s">
        <v>4</v>
      </c>
      <c r="B20" s="88" t="s">
        <v>29</v>
      </c>
      <c r="C20" s="89" t="s">
        <v>106</v>
      </c>
      <c r="D20" s="89">
        <v>2007001072</v>
      </c>
      <c r="E20" s="89" t="s">
        <v>89</v>
      </c>
      <c r="F20" s="48">
        <v>245</v>
      </c>
      <c r="G20" s="61">
        <v>0</v>
      </c>
      <c r="H20" s="61">
        <v>380</v>
      </c>
      <c r="I20" s="62">
        <v>0</v>
      </c>
      <c r="J20" s="62">
        <v>884</v>
      </c>
      <c r="K20" s="62">
        <f t="shared" si="3"/>
        <v>884</v>
      </c>
      <c r="L20" s="62">
        <v>0</v>
      </c>
      <c r="M20" s="62">
        <v>608</v>
      </c>
      <c r="N20" s="62">
        <f t="shared" si="4"/>
        <v>608</v>
      </c>
      <c r="O20" s="62">
        <v>0</v>
      </c>
      <c r="P20" s="62">
        <v>416</v>
      </c>
      <c r="Q20" s="62">
        <f t="shared" si="5"/>
        <v>416</v>
      </c>
      <c r="R20" s="62">
        <v>0</v>
      </c>
      <c r="S20" s="62">
        <v>204</v>
      </c>
      <c r="T20" s="62">
        <f t="shared" si="6"/>
        <v>204</v>
      </c>
      <c r="U20" s="62">
        <v>0</v>
      </c>
      <c r="V20" s="62">
        <v>393</v>
      </c>
      <c r="W20" s="62">
        <f t="shared" si="7"/>
        <v>393</v>
      </c>
      <c r="X20" s="62">
        <v>0</v>
      </c>
      <c r="Y20" s="62">
        <v>34</v>
      </c>
      <c r="Z20" s="62">
        <f t="shared" si="8"/>
        <v>34</v>
      </c>
      <c r="AA20" s="63">
        <v>0</v>
      </c>
      <c r="AB20" s="62">
        <v>1177.57</v>
      </c>
      <c r="AC20" s="62">
        <f t="shared" si="9"/>
        <v>1177.57</v>
      </c>
      <c r="AD20" s="63">
        <v>0</v>
      </c>
      <c r="AE20" s="62">
        <v>772.69500000000005</v>
      </c>
      <c r="AF20" s="62">
        <f t="shared" si="38"/>
        <v>772.69500000000005</v>
      </c>
      <c r="AG20" s="63">
        <v>0</v>
      </c>
      <c r="AH20" s="62">
        <v>1028.9580000000001</v>
      </c>
      <c r="AI20" s="62">
        <f t="shared" si="10"/>
        <v>1028.9580000000001</v>
      </c>
      <c r="AJ20" s="64" t="s">
        <v>537</v>
      </c>
      <c r="AK20" s="65">
        <v>344159</v>
      </c>
      <c r="AL20" s="65">
        <v>236471</v>
      </c>
      <c r="AM20" s="65">
        <v>167452</v>
      </c>
      <c r="AN20" s="79">
        <v>88826</v>
      </c>
      <c r="AO20" s="79">
        <v>159330</v>
      </c>
      <c r="AP20" s="79">
        <v>13614</v>
      </c>
      <c r="AQ20" s="65">
        <v>456206</v>
      </c>
      <c r="AR20" s="65">
        <v>304497</v>
      </c>
      <c r="AS20" s="65">
        <v>400517</v>
      </c>
      <c r="AT20" s="66">
        <f t="shared" si="11"/>
        <v>389.32013574660635</v>
      </c>
      <c r="AU20" s="66">
        <f t="shared" si="12"/>
        <v>388.9325657894737</v>
      </c>
      <c r="AV20" s="66">
        <f t="shared" si="13"/>
        <v>402.52884615384613</v>
      </c>
      <c r="AW20" s="66">
        <f t="shared" si="14"/>
        <v>435.42156862745099</v>
      </c>
      <c r="AX20" s="66">
        <f t="shared" si="15"/>
        <v>405.41984732824426</v>
      </c>
      <c r="AY20" s="66">
        <f t="shared" si="16"/>
        <v>400.41176470588238</v>
      </c>
      <c r="AZ20" s="66">
        <f>AQ20/AC20</f>
        <v>387.4130624931002</v>
      </c>
      <c r="BA20" s="66">
        <f t="shared" si="60"/>
        <v>394.07139945256534</v>
      </c>
      <c r="BB20" s="66">
        <f t="shared" si="61"/>
        <v>389.24523644308124</v>
      </c>
      <c r="BC20" s="68">
        <f t="shared" si="17"/>
        <v>2171072</v>
      </c>
      <c r="BD20" s="68">
        <f t="shared" si="18"/>
        <v>399.19604741558345</v>
      </c>
      <c r="BE20" s="68">
        <f t="shared" si="0"/>
        <v>-7.4899303525114647E-2</v>
      </c>
      <c r="BF20" s="69">
        <f t="shared" si="19"/>
        <v>-1.9238486954054057E-4</v>
      </c>
      <c r="BG20" s="70" t="str" cm="1">
        <f t="array" ref="BG20">_xlfn.IFS(BF20&gt;0%,"Incremento",BF20=0%,"Stazionarietà",BF20&lt;0%,"Diminuzione")</f>
        <v>Diminuzione</v>
      </c>
      <c r="BH20" s="71" t="s">
        <v>159</v>
      </c>
      <c r="BI20" s="72" t="s">
        <v>180</v>
      </c>
      <c r="BJ20" s="73">
        <v>121</v>
      </c>
      <c r="BK20" s="73">
        <v>79</v>
      </c>
      <c r="BL20" s="73">
        <v>62</v>
      </c>
      <c r="BM20" s="74">
        <v>34.4</v>
      </c>
      <c r="BN20" s="74">
        <v>52</v>
      </c>
      <c r="BO20" s="74">
        <v>5.7</v>
      </c>
      <c r="BP20" s="73">
        <v>152.69999999999999</v>
      </c>
      <c r="BQ20" s="73">
        <v>89.8</v>
      </c>
      <c r="BR20" s="73">
        <v>132.80000000000001</v>
      </c>
      <c r="BS20" s="62">
        <f t="shared" si="20"/>
        <v>0.13687782805429866</v>
      </c>
      <c r="BT20" s="62">
        <f t="shared" si="21"/>
        <v>0.12993421052631579</v>
      </c>
      <c r="BU20" s="62">
        <f t="shared" si="22"/>
        <v>0.14903846153846154</v>
      </c>
      <c r="BV20" s="62">
        <f t="shared" si="23"/>
        <v>0.16862745098039214</v>
      </c>
      <c r="BW20" s="62">
        <f t="shared" si="24"/>
        <v>0.13231552162849872</v>
      </c>
      <c r="BX20" s="62">
        <f t="shared" si="25"/>
        <v>0.16764705882352943</v>
      </c>
      <c r="BY20" s="62">
        <f t="shared" si="55"/>
        <v>0.12967381981538253</v>
      </c>
      <c r="BZ20" s="62">
        <f t="shared" ref="BZ20:BZ27" si="77">BQ20/AF20</f>
        <v>0.11621661845877092</v>
      </c>
      <c r="CA20" s="62">
        <f t="shared" si="57"/>
        <v>0.12906260508203446</v>
      </c>
      <c r="CB20" s="62">
        <f t="shared" si="26"/>
        <v>729.39999999999986</v>
      </c>
      <c r="CC20" s="62">
        <f t="shared" si="72"/>
        <v>0.13993261943418714</v>
      </c>
      <c r="CD20" s="75">
        <f t="shared" si="27"/>
        <v>-7.8152229722641964E-3</v>
      </c>
      <c r="CE20" s="69">
        <f t="shared" si="28"/>
        <v>-5.7096339731252499E-2</v>
      </c>
      <c r="CF20" s="70" t="str" cm="1">
        <f t="array" ref="CF20">_xlfn.IFS(CE20&gt;0%,"Incremento",CE20=0%,"Stazionarietà",CE20&lt;0%,"Diminuzione")</f>
        <v>Diminuzione</v>
      </c>
      <c r="CG20" s="73">
        <v>184</v>
      </c>
      <c r="CH20" s="73">
        <v>131</v>
      </c>
      <c r="CI20" s="73">
        <v>165</v>
      </c>
      <c r="CJ20" s="74">
        <v>212.2</v>
      </c>
      <c r="CK20" s="74">
        <v>192.9</v>
      </c>
      <c r="CL20" s="74">
        <v>28.2</v>
      </c>
      <c r="CM20" s="73">
        <v>31.9</v>
      </c>
      <c r="CN20" s="73">
        <v>28.6</v>
      </c>
      <c r="CO20" s="73">
        <v>23.9</v>
      </c>
      <c r="CP20" s="73">
        <f t="shared" si="29"/>
        <v>0.20814479638009051</v>
      </c>
      <c r="CQ20" s="73">
        <f t="shared" si="30"/>
        <v>0.21546052631578946</v>
      </c>
      <c r="CR20" s="73">
        <f t="shared" si="31"/>
        <v>0.39663461538461536</v>
      </c>
      <c r="CS20" s="73">
        <f t="shared" si="32"/>
        <v>1.0401960784313724</v>
      </c>
      <c r="CT20" s="73">
        <f t="shared" si="33"/>
        <v>0.49083969465648858</v>
      </c>
      <c r="CU20" s="73">
        <f t="shared" si="34"/>
        <v>0.82941176470588229</v>
      </c>
      <c r="CV20" s="73">
        <f t="shared" si="67"/>
        <v>2.7089684689657514E-2</v>
      </c>
      <c r="CW20" s="73">
        <f t="shared" si="58"/>
        <v>3.7013310555911449E-2</v>
      </c>
      <c r="CX20" s="73">
        <f t="shared" si="62"/>
        <v>2.3227381486902281E-2</v>
      </c>
      <c r="CY20" s="73">
        <f t="shared" si="35"/>
        <v>997.7</v>
      </c>
      <c r="CZ20" s="73">
        <f t="shared" si="73"/>
        <v>0.36311309473407888</v>
      </c>
      <c r="DA20" s="74">
        <f t="shared" si="36"/>
        <v>-0.18491741489318822</v>
      </c>
      <c r="DB20" s="69">
        <f t="shared" si="71"/>
        <v>-0.88840758024770861</v>
      </c>
      <c r="DC20" s="70" t="str" cm="1">
        <f t="array" ref="DC20">_xlfn.IFS(DB20&gt;0%,"Incremento",DB20=0%,"Stazionarietà",DB20&lt;0%,"Diminuzione")</f>
        <v>Diminuzione</v>
      </c>
      <c r="DD20" s="73" t="s">
        <v>151</v>
      </c>
      <c r="DE20" s="73" t="s">
        <v>151</v>
      </c>
      <c r="DF20" s="73" t="s">
        <v>151</v>
      </c>
      <c r="DG20" s="74" t="s">
        <v>151</v>
      </c>
      <c r="DH20" s="74" t="s">
        <v>151</v>
      </c>
      <c r="DI20" s="74" t="s">
        <v>151</v>
      </c>
      <c r="DJ20" s="73" t="s">
        <v>151</v>
      </c>
      <c r="DK20" s="73" t="s">
        <v>151</v>
      </c>
      <c r="DL20" s="73" t="s">
        <v>151</v>
      </c>
      <c r="DM20" s="73" t="s">
        <v>151</v>
      </c>
      <c r="DN20" s="73" t="s">
        <v>151</v>
      </c>
      <c r="DO20" s="73" t="s">
        <v>151</v>
      </c>
      <c r="DP20" s="73" t="s">
        <v>151</v>
      </c>
      <c r="DQ20" s="73" t="s">
        <v>151</v>
      </c>
      <c r="DR20" s="73" t="s">
        <v>151</v>
      </c>
      <c r="DS20" s="73" t="s">
        <v>151</v>
      </c>
      <c r="DT20" s="73" t="s">
        <v>151</v>
      </c>
      <c r="DU20" s="73" t="s">
        <v>151</v>
      </c>
      <c r="DV20" s="73">
        <f t="shared" si="47"/>
        <v>0</v>
      </c>
      <c r="DW20" s="73">
        <f t="shared" si="37"/>
        <v>0</v>
      </c>
      <c r="DX20" s="74" t="s">
        <v>151</v>
      </c>
      <c r="DY20" s="70" t="s">
        <v>151</v>
      </c>
      <c r="DZ20" s="70" t="s">
        <v>151</v>
      </c>
    </row>
    <row r="21" spans="1:130" x14ac:dyDescent="0.3">
      <c r="A21" s="89" t="s">
        <v>30</v>
      </c>
      <c r="B21" s="89" t="s">
        <v>31</v>
      </c>
      <c r="C21" s="89" t="s">
        <v>107</v>
      </c>
      <c r="D21" s="89">
        <v>2007001510</v>
      </c>
      <c r="E21" s="89" t="s">
        <v>89</v>
      </c>
      <c r="F21" s="48">
        <v>225</v>
      </c>
      <c r="G21" s="61">
        <v>0</v>
      </c>
      <c r="H21" s="61">
        <v>400</v>
      </c>
      <c r="I21" s="62">
        <v>0</v>
      </c>
      <c r="J21" s="62">
        <v>1662.68093</v>
      </c>
      <c r="K21" s="62">
        <f t="shared" si="3"/>
        <v>1662.68093</v>
      </c>
      <c r="L21" s="62">
        <v>0</v>
      </c>
      <c r="M21" s="62">
        <v>1998.1731600000001</v>
      </c>
      <c r="N21" s="62">
        <f t="shared" si="4"/>
        <v>1998.1731600000001</v>
      </c>
      <c r="O21" s="62">
        <v>0</v>
      </c>
      <c r="P21" s="62">
        <v>1246.19805</v>
      </c>
      <c r="Q21" s="62">
        <f t="shared" si="5"/>
        <v>1246.19805</v>
      </c>
      <c r="R21" s="62">
        <v>0</v>
      </c>
      <c r="S21" s="62">
        <v>1643.94</v>
      </c>
      <c r="T21" s="62">
        <f t="shared" si="6"/>
        <v>1643.94</v>
      </c>
      <c r="U21" s="62">
        <v>0</v>
      </c>
      <c r="V21" s="62">
        <v>1658.6210000000001</v>
      </c>
      <c r="W21" s="62">
        <f t="shared" si="7"/>
        <v>1658.6210000000001</v>
      </c>
      <c r="X21" s="62">
        <v>0</v>
      </c>
      <c r="Y21" s="62">
        <v>2230.1329999999998</v>
      </c>
      <c r="Z21" s="62">
        <f t="shared" si="8"/>
        <v>2230.1329999999998</v>
      </c>
      <c r="AA21" s="63">
        <v>0</v>
      </c>
      <c r="AB21" s="62">
        <v>1898.6759999999999</v>
      </c>
      <c r="AC21" s="62">
        <f t="shared" si="9"/>
        <v>1898.6759999999999</v>
      </c>
      <c r="AD21" s="63">
        <v>0</v>
      </c>
      <c r="AE21" s="62">
        <v>2186.64</v>
      </c>
      <c r="AF21" s="62">
        <f t="shared" si="38"/>
        <v>2186.64</v>
      </c>
      <c r="AG21" s="63">
        <v>0</v>
      </c>
      <c r="AH21" s="62">
        <v>2113.6680000000001</v>
      </c>
      <c r="AI21" s="62">
        <f t="shared" si="10"/>
        <v>2113.6680000000001</v>
      </c>
      <c r="AJ21" s="64" t="s">
        <v>540</v>
      </c>
      <c r="AK21" s="65">
        <v>633452.46100000001</v>
      </c>
      <c r="AL21" s="65">
        <v>741500.95600000001</v>
      </c>
      <c r="AM21" s="65">
        <v>473143.02100000001</v>
      </c>
      <c r="AN21" s="65">
        <v>617515.64099999995</v>
      </c>
      <c r="AO21" s="65">
        <v>623575.23600000003</v>
      </c>
      <c r="AP21" s="65">
        <v>836798.799</v>
      </c>
      <c r="AQ21" s="65">
        <v>691452</v>
      </c>
      <c r="AR21" s="65">
        <v>802791</v>
      </c>
      <c r="AS21" s="65">
        <v>778304</v>
      </c>
      <c r="AT21" s="66">
        <f t="shared" si="11"/>
        <v>380.98257432951976</v>
      </c>
      <c r="AU21" s="66">
        <f t="shared" si="12"/>
        <v>371.0894385149283</v>
      </c>
      <c r="AV21" s="66">
        <f t="shared" si="13"/>
        <v>379.66920346248338</v>
      </c>
      <c r="AW21" s="66">
        <f t="shared" si="14"/>
        <v>375.63149567502461</v>
      </c>
      <c r="AX21" s="66">
        <f t="shared" si="15"/>
        <v>375.96005115092601</v>
      </c>
      <c r="AY21" s="66">
        <f t="shared" si="16"/>
        <v>375.22371939252059</v>
      </c>
      <c r="AZ21" s="66">
        <f>AQ21/AC21</f>
        <v>364.17587834891265</v>
      </c>
      <c r="BA21" s="66">
        <f t="shared" si="60"/>
        <v>367.13450773789924</v>
      </c>
      <c r="BB21" s="66">
        <f t="shared" si="61"/>
        <v>368.22433797550036</v>
      </c>
      <c r="BC21" s="68">
        <f t="shared" si="17"/>
        <v>6198533.1140000001</v>
      </c>
      <c r="BD21" s="68">
        <f t="shared" si="18"/>
        <v>373.1212451764128</v>
      </c>
      <c r="BE21" s="68">
        <f t="shared" si="0"/>
        <v>-12.758236354019402</v>
      </c>
      <c r="BF21" s="69">
        <f t="shared" si="19"/>
        <v>-3.348771627277769E-2</v>
      </c>
      <c r="BG21" s="70" t="str" cm="1">
        <f t="array" ref="BG21">_xlfn.IFS(BF21&gt;0%,"Incremento",BF21=0%,"Stazionarietà",BF21&lt;0%,"Diminuzione")</f>
        <v>Diminuzione</v>
      </c>
      <c r="BH21" s="71" t="s">
        <v>155</v>
      </c>
      <c r="BI21" s="72" t="s">
        <v>180</v>
      </c>
      <c r="BJ21" s="73">
        <v>210.79982000000001</v>
      </c>
      <c r="BK21" s="73">
        <v>229.28890000000001</v>
      </c>
      <c r="BL21" s="73">
        <v>125.55289999999999</v>
      </c>
      <c r="BM21" s="74">
        <v>160.40656000000001</v>
      </c>
      <c r="BN21" s="74">
        <v>127.64791</v>
      </c>
      <c r="BO21" s="74">
        <v>162.28434999999999</v>
      </c>
      <c r="BP21" s="73">
        <v>145.92099999999999</v>
      </c>
      <c r="BQ21" s="73">
        <v>186.893</v>
      </c>
      <c r="BR21" s="73">
        <v>205.4</v>
      </c>
      <c r="BS21" s="62">
        <f t="shared" si="20"/>
        <v>0.12678308639770111</v>
      </c>
      <c r="BT21" s="62">
        <f t="shared" si="21"/>
        <v>0.11474926427297222</v>
      </c>
      <c r="BU21" s="62">
        <f t="shared" si="22"/>
        <v>0.10074875337832538</v>
      </c>
      <c r="BV21" s="62">
        <f t="shared" si="23"/>
        <v>9.7574461355037292E-2</v>
      </c>
      <c r="BW21" s="62">
        <f t="shared" si="24"/>
        <v>7.6960263978328974E-2</v>
      </c>
      <c r="BX21" s="62">
        <f t="shared" si="25"/>
        <v>7.2768911091849686E-2</v>
      </c>
      <c r="BY21" s="62">
        <f t="shared" si="55"/>
        <v>7.6854081475723077E-2</v>
      </c>
      <c r="BZ21" s="62">
        <f t="shared" si="77"/>
        <v>8.5470402078074131E-2</v>
      </c>
      <c r="CA21" s="62">
        <f t="shared" si="57"/>
        <v>9.7177040102797596E-2</v>
      </c>
      <c r="CB21" s="62">
        <f t="shared" si="26"/>
        <v>1554.1944400000002</v>
      </c>
      <c r="CC21" s="62">
        <f t="shared" si="72"/>
        <v>9.4342918236756598E-2</v>
      </c>
      <c r="CD21" s="75">
        <f t="shared" si="27"/>
        <v>-2.9606046294903515E-2</v>
      </c>
      <c r="CE21" s="69">
        <f t="shared" si="28"/>
        <v>-0.23351731793335129</v>
      </c>
      <c r="CF21" s="70" t="str" cm="1">
        <f t="array" ref="CF21">_xlfn.IFS(CE21&gt;0%,"Incremento",CE21=0%,"Stazionarietà",CE21&lt;0%,"Diminuzione")</f>
        <v>Diminuzione</v>
      </c>
      <c r="CG21" s="73">
        <v>61.159779999999998</v>
      </c>
      <c r="CH21" s="73">
        <v>76.0214</v>
      </c>
      <c r="CI21" s="73">
        <v>43.253999999999998</v>
      </c>
      <c r="CJ21" s="74">
        <v>15.029</v>
      </c>
      <c r="CK21" s="74">
        <v>64.617000000000004</v>
      </c>
      <c r="CL21" s="74">
        <v>117.863</v>
      </c>
      <c r="CM21" s="73">
        <v>103.51300000000001</v>
      </c>
      <c r="CN21" s="73">
        <v>144.65600000000001</v>
      </c>
      <c r="CO21" s="73">
        <v>176.761</v>
      </c>
      <c r="CP21" s="73">
        <f t="shared" si="29"/>
        <v>3.6783834406520798E-2</v>
      </c>
      <c r="CQ21" s="73">
        <f t="shared" si="30"/>
        <v>3.8045451476287469E-2</v>
      </c>
      <c r="CR21" s="73">
        <f t="shared" si="31"/>
        <v>3.4708768802839962E-2</v>
      </c>
      <c r="CS21" s="73">
        <f t="shared" si="32"/>
        <v>9.1420611457839092E-3</v>
      </c>
      <c r="CT21" s="73">
        <f t="shared" si="33"/>
        <v>3.8958267138785772E-2</v>
      </c>
      <c r="CU21" s="73">
        <f t="shared" si="34"/>
        <v>5.2850211175746023E-2</v>
      </c>
      <c r="CV21" s="73">
        <f t="shared" si="67"/>
        <v>5.4518517114031044E-2</v>
      </c>
      <c r="CW21" s="73">
        <f t="shared" ref="CW21:CW27" si="78">CN21/AF21</f>
        <v>6.6154465298357307E-2</v>
      </c>
      <c r="CX21" s="73">
        <f t="shared" si="62"/>
        <v>8.3627608498591063E-2</v>
      </c>
      <c r="CY21" s="73">
        <f t="shared" si="35"/>
        <v>802.87418000000002</v>
      </c>
      <c r="CZ21" s="73">
        <f t="shared" si="73"/>
        <v>4.6087687228549265E-2</v>
      </c>
      <c r="DA21" s="74">
        <f t="shared" si="36"/>
        <v>4.6843774092070266E-2</v>
      </c>
      <c r="DB21" s="69">
        <f t="shared" si="71"/>
        <v>1.2734880647398223</v>
      </c>
      <c r="DC21" s="70" t="str" cm="1">
        <f t="array" ref="DC21">_xlfn.IFS(DB21&gt;0%,"Incremento",DB21=0%,"Stazionarietà",DB21&lt;0%,"Diminuzione")</f>
        <v>Incremento</v>
      </c>
      <c r="DD21" s="73" t="s">
        <v>151</v>
      </c>
      <c r="DE21" s="73" t="s">
        <v>151</v>
      </c>
      <c r="DF21" s="73" t="s">
        <v>151</v>
      </c>
      <c r="DG21" s="74" t="s">
        <v>151</v>
      </c>
      <c r="DH21" s="74" t="s">
        <v>151</v>
      </c>
      <c r="DI21" s="74" t="s">
        <v>151</v>
      </c>
      <c r="DJ21" s="73" t="s">
        <v>151</v>
      </c>
      <c r="DK21" s="73" t="s">
        <v>151</v>
      </c>
      <c r="DL21" s="73" t="s">
        <v>151</v>
      </c>
      <c r="DM21" s="73" t="s">
        <v>151</v>
      </c>
      <c r="DN21" s="73" t="s">
        <v>151</v>
      </c>
      <c r="DO21" s="73" t="s">
        <v>151</v>
      </c>
      <c r="DP21" s="73" t="s">
        <v>151</v>
      </c>
      <c r="DQ21" s="73" t="s">
        <v>151</v>
      </c>
      <c r="DR21" s="73" t="s">
        <v>151</v>
      </c>
      <c r="DS21" s="73" t="s">
        <v>151</v>
      </c>
      <c r="DT21" s="73" t="s">
        <v>151</v>
      </c>
      <c r="DU21" s="73" t="s">
        <v>151</v>
      </c>
      <c r="DV21" s="73">
        <f t="shared" si="47"/>
        <v>0</v>
      </c>
      <c r="DW21" s="73">
        <f t="shared" si="37"/>
        <v>0</v>
      </c>
      <c r="DX21" s="74" t="s">
        <v>151</v>
      </c>
      <c r="DY21" s="70" t="s">
        <v>151</v>
      </c>
      <c r="DZ21" s="70" t="s">
        <v>151</v>
      </c>
    </row>
    <row r="22" spans="1:130" x14ac:dyDescent="0.3">
      <c r="A22" s="88" t="s">
        <v>12</v>
      </c>
      <c r="B22" s="88" t="s">
        <v>32</v>
      </c>
      <c r="C22" s="89" t="s">
        <v>108</v>
      </c>
      <c r="D22" s="89">
        <v>2007001859</v>
      </c>
      <c r="E22" s="89" t="s">
        <v>89</v>
      </c>
      <c r="F22" s="48">
        <v>15</v>
      </c>
      <c r="G22" s="61">
        <v>500</v>
      </c>
      <c r="H22" s="61">
        <v>800</v>
      </c>
      <c r="I22" s="62">
        <v>1581</v>
      </c>
      <c r="J22" s="62">
        <v>4432.5</v>
      </c>
      <c r="K22" s="62">
        <f t="shared" si="3"/>
        <v>6013.5</v>
      </c>
      <c r="L22" s="62">
        <v>1654.9</v>
      </c>
      <c r="M22" s="62">
        <v>3621.3</v>
      </c>
      <c r="N22" s="62">
        <f t="shared" si="4"/>
        <v>5276.2000000000007</v>
      </c>
      <c r="O22" s="62">
        <v>1826.2</v>
      </c>
      <c r="P22" s="62">
        <v>3982</v>
      </c>
      <c r="Q22" s="62">
        <f t="shared" si="5"/>
        <v>5808.2</v>
      </c>
      <c r="R22" s="62">
        <v>1560.9</v>
      </c>
      <c r="S22" s="62">
        <v>2691.4</v>
      </c>
      <c r="T22" s="62">
        <f t="shared" si="6"/>
        <v>4252.3</v>
      </c>
      <c r="U22" s="62">
        <v>1007.8</v>
      </c>
      <c r="V22" s="62">
        <v>2382</v>
      </c>
      <c r="W22" s="62">
        <f t="shared" si="7"/>
        <v>3389.8</v>
      </c>
      <c r="X22" s="62">
        <v>1157.3</v>
      </c>
      <c r="Y22" s="62">
        <v>2979.8</v>
      </c>
      <c r="Z22" s="62">
        <f t="shared" si="8"/>
        <v>4137.1000000000004</v>
      </c>
      <c r="AA22" s="63">
        <v>1525</v>
      </c>
      <c r="AB22" s="62">
        <v>3661</v>
      </c>
      <c r="AC22" s="62">
        <f t="shared" si="9"/>
        <v>5186</v>
      </c>
      <c r="AD22" s="63">
        <v>1179</v>
      </c>
      <c r="AE22" s="62">
        <v>3410</v>
      </c>
      <c r="AF22" s="62">
        <f t="shared" si="38"/>
        <v>4589</v>
      </c>
      <c r="AG22" s="63">
        <v>1238</v>
      </c>
      <c r="AH22" s="62">
        <v>3551</v>
      </c>
      <c r="AI22" s="62">
        <f t="shared" si="10"/>
        <v>4789</v>
      </c>
      <c r="AJ22" s="64" t="s">
        <v>549</v>
      </c>
      <c r="AK22" s="65">
        <v>1707707</v>
      </c>
      <c r="AL22" s="65">
        <v>1437127</v>
      </c>
      <c r="AM22" s="65">
        <v>1574003</v>
      </c>
      <c r="AN22" s="79">
        <v>1104833</v>
      </c>
      <c r="AO22" s="79">
        <v>961723</v>
      </c>
      <c r="AP22" s="79">
        <v>1187156</v>
      </c>
      <c r="AQ22" s="65">
        <v>1460227</v>
      </c>
      <c r="AR22" s="65">
        <v>1370271</v>
      </c>
      <c r="AS22" s="65">
        <v>1424955</v>
      </c>
      <c r="AT22" s="66">
        <f t="shared" si="11"/>
        <v>283.97888085141767</v>
      </c>
      <c r="AU22" s="66">
        <f t="shared" si="12"/>
        <v>272.37917440582231</v>
      </c>
      <c r="AV22" s="66">
        <f t="shared" si="13"/>
        <v>270.99669432870769</v>
      </c>
      <c r="AW22" s="66">
        <f t="shared" si="14"/>
        <v>259.82009735907627</v>
      </c>
      <c r="AX22" s="66">
        <f t="shared" si="15"/>
        <v>283.71083839754556</v>
      </c>
      <c r="AY22" s="66">
        <f t="shared" si="16"/>
        <v>286.95366319402478</v>
      </c>
      <c r="AZ22" s="66">
        <f t="shared" ref="AZ22:AZ24" si="79">AQ22/AC22</f>
        <v>281.57096027767068</v>
      </c>
      <c r="BA22" s="66">
        <f t="shared" si="60"/>
        <v>298.59904118544347</v>
      </c>
      <c r="BB22" s="66">
        <f>AS22/AI22</f>
        <v>297.54750469826683</v>
      </c>
      <c r="BC22" s="68">
        <f t="shared" si="17"/>
        <v>12228002</v>
      </c>
      <c r="BD22" s="68">
        <f t="shared" si="18"/>
        <v>281.72853941088619</v>
      </c>
      <c r="BE22" s="68">
        <f t="shared" si="0"/>
        <v>13.568623846849164</v>
      </c>
      <c r="BF22" s="69">
        <f t="shared" si="19"/>
        <v>4.7780397634387795E-2</v>
      </c>
      <c r="BG22" s="70" t="str" cm="1">
        <f t="array" ref="BG22">_xlfn.IFS(BF22&gt;0%,"Incremento",BF22=0%,"Stazionarietà",BF22&lt;0%,"Diminuzione")</f>
        <v>Incremento</v>
      </c>
      <c r="BH22" s="71" t="s">
        <v>548</v>
      </c>
      <c r="BI22" s="72" t="s">
        <v>182</v>
      </c>
      <c r="BJ22" s="73">
        <v>550.70000000000005</v>
      </c>
      <c r="BK22" s="73">
        <v>489.5</v>
      </c>
      <c r="BL22" s="73">
        <v>576.70000000000005</v>
      </c>
      <c r="BM22" s="74">
        <v>326.39999999999998</v>
      </c>
      <c r="BN22" s="74">
        <v>181.6</v>
      </c>
      <c r="BO22" s="74">
        <v>216.6</v>
      </c>
      <c r="BP22" s="73">
        <v>265</v>
      </c>
      <c r="BQ22" s="73">
        <v>305</v>
      </c>
      <c r="BR22" s="73">
        <v>315</v>
      </c>
      <c r="BS22" s="62">
        <f t="shared" si="20"/>
        <v>9.1577284443335835E-2</v>
      </c>
      <c r="BT22" s="62">
        <f t="shared" si="21"/>
        <v>9.2775103294037362E-2</v>
      </c>
      <c r="BU22" s="62">
        <f t="shared" si="22"/>
        <v>9.9290658035191631E-2</v>
      </c>
      <c r="BV22" s="62">
        <f t="shared" si="23"/>
        <v>7.6758460127460418E-2</v>
      </c>
      <c r="BW22" s="62">
        <f t="shared" si="24"/>
        <v>5.3572482152339368E-2</v>
      </c>
      <c r="BX22" s="62">
        <f t="shared" si="25"/>
        <v>5.2355514732542116E-2</v>
      </c>
      <c r="BY22" s="62">
        <f t="shared" si="55"/>
        <v>5.1099112996529118E-2</v>
      </c>
      <c r="BZ22" s="62">
        <f t="shared" si="77"/>
        <v>6.6463281760732185E-2</v>
      </c>
      <c r="CA22" s="62">
        <f t="shared" si="57"/>
        <v>6.577573606180831E-2</v>
      </c>
      <c r="CB22" s="62">
        <f t="shared" si="26"/>
        <v>3226.5</v>
      </c>
      <c r="CC22" s="62">
        <f t="shared" si="72"/>
        <v>7.2185292622664043E-2</v>
      </c>
      <c r="CD22" s="75">
        <f t="shared" si="27"/>
        <v>-2.5801548381527525E-2</v>
      </c>
      <c r="CE22" s="69">
        <f t="shared" si="28"/>
        <v>-0.2817461615985396</v>
      </c>
      <c r="CF22" s="70" t="str" cm="1">
        <f t="array" ref="CF22">_xlfn.IFS(CE22&gt;0%,"Incremento",CE22=0%,"Stazionarietà",CE22&lt;0%,"Diminuzione")</f>
        <v>Diminuzione</v>
      </c>
      <c r="CG22" s="73">
        <v>28</v>
      </c>
      <c r="CH22" s="73">
        <v>128.5</v>
      </c>
      <c r="CI22" s="73">
        <v>408.5</v>
      </c>
      <c r="CJ22" s="74">
        <v>429.7</v>
      </c>
      <c r="CK22" s="74">
        <v>66.3</v>
      </c>
      <c r="CL22" s="74">
        <v>94.5</v>
      </c>
      <c r="CM22" s="73">
        <v>65</v>
      </c>
      <c r="CN22" s="73">
        <v>82.5</v>
      </c>
      <c r="CO22" s="73">
        <v>90</v>
      </c>
      <c r="CP22" s="73">
        <f t="shared" si="29"/>
        <v>4.6561902386297498E-3</v>
      </c>
      <c r="CQ22" s="73">
        <f t="shared" si="30"/>
        <v>2.435464917933361E-2</v>
      </c>
      <c r="CR22" s="73">
        <f t="shared" si="31"/>
        <v>7.0331600151509938E-2</v>
      </c>
      <c r="CS22" s="73">
        <f t="shared" si="32"/>
        <v>0.10105119582343672</v>
      </c>
      <c r="CT22" s="73">
        <f t="shared" si="33"/>
        <v>1.9558676028084251E-2</v>
      </c>
      <c r="CU22" s="73">
        <f t="shared" si="34"/>
        <v>2.2842087452563387E-2</v>
      </c>
      <c r="CV22" s="73">
        <f t="shared" ref="CV22:CV27" si="80">CM22/AC22</f>
        <v>1.2533744697261859E-2</v>
      </c>
      <c r="CW22" s="73">
        <f t="shared" si="78"/>
        <v>1.7977772935280016E-2</v>
      </c>
      <c r="CX22" s="73">
        <f t="shared" si="62"/>
        <v>1.8793067446230945E-2</v>
      </c>
      <c r="CY22" s="73">
        <f t="shared" si="35"/>
        <v>1393</v>
      </c>
      <c r="CZ22" s="73">
        <f t="shared" si="73"/>
        <v>3.245544266137005E-2</v>
      </c>
      <c r="DA22" s="74">
        <f t="shared" si="36"/>
        <v>1.4136877207601196E-2</v>
      </c>
      <c r="DB22" s="69">
        <f t="shared" si="71"/>
        <v>3.0361468245682062</v>
      </c>
      <c r="DC22" s="70" t="str" cm="1">
        <f t="array" ref="DC22">_xlfn.IFS(DB22&gt;0%,"Incremento",DB22=0%,"Stazionarietà",DB22&lt;0%,"Diminuzione")</f>
        <v>Incremento</v>
      </c>
      <c r="DD22" s="73" t="s">
        <v>151</v>
      </c>
      <c r="DE22" s="73" t="s">
        <v>151</v>
      </c>
      <c r="DF22" s="73" t="s">
        <v>151</v>
      </c>
      <c r="DG22" s="74" t="s">
        <v>151</v>
      </c>
      <c r="DH22" s="74" t="s">
        <v>151</v>
      </c>
      <c r="DI22" s="74" t="s">
        <v>151</v>
      </c>
      <c r="DJ22" s="73" t="s">
        <v>151</v>
      </c>
      <c r="DK22" s="73" t="s">
        <v>151</v>
      </c>
      <c r="DL22" s="73" t="s">
        <v>151</v>
      </c>
      <c r="DM22" s="73" t="s">
        <v>151</v>
      </c>
      <c r="DN22" s="73" t="s">
        <v>151</v>
      </c>
      <c r="DO22" s="73" t="s">
        <v>151</v>
      </c>
      <c r="DP22" s="73" t="s">
        <v>151</v>
      </c>
      <c r="DQ22" s="73" t="s">
        <v>151</v>
      </c>
      <c r="DR22" s="73" t="s">
        <v>151</v>
      </c>
      <c r="DS22" s="73" t="s">
        <v>151</v>
      </c>
      <c r="DT22" s="73" t="s">
        <v>151</v>
      </c>
      <c r="DU22" s="73" t="s">
        <v>151</v>
      </c>
      <c r="DV22" s="73">
        <f t="shared" si="47"/>
        <v>0</v>
      </c>
      <c r="DW22" s="73">
        <f t="shared" si="37"/>
        <v>0</v>
      </c>
      <c r="DX22" s="74" t="s">
        <v>151</v>
      </c>
      <c r="DY22" s="70" t="s">
        <v>151</v>
      </c>
      <c r="DZ22" s="70" t="s">
        <v>151</v>
      </c>
    </row>
    <row r="23" spans="1:130" x14ac:dyDescent="0.3">
      <c r="A23" s="88" t="s">
        <v>33</v>
      </c>
      <c r="B23" s="88" t="s">
        <v>34</v>
      </c>
      <c r="C23" s="88" t="s">
        <v>109</v>
      </c>
      <c r="D23" s="88">
        <v>2007000610</v>
      </c>
      <c r="E23" s="88" t="s">
        <v>89</v>
      </c>
      <c r="F23" s="48">
        <v>1256</v>
      </c>
      <c r="G23" s="61" t="s">
        <v>151</v>
      </c>
      <c r="H23" s="61" t="s">
        <v>151</v>
      </c>
      <c r="I23" s="62">
        <v>0</v>
      </c>
      <c r="J23" s="62">
        <v>1041.548</v>
      </c>
      <c r="K23" s="62">
        <f t="shared" si="3"/>
        <v>1041.548</v>
      </c>
      <c r="L23" s="62">
        <v>0</v>
      </c>
      <c r="M23" s="62">
        <v>889.76099999999997</v>
      </c>
      <c r="N23" s="62">
        <f t="shared" si="4"/>
        <v>889.76099999999997</v>
      </c>
      <c r="O23" s="62">
        <v>0</v>
      </c>
      <c r="P23" s="62">
        <v>1309.8610000000001</v>
      </c>
      <c r="Q23" s="62">
        <f t="shared" si="5"/>
        <v>1309.8610000000001</v>
      </c>
      <c r="R23" s="62">
        <v>0</v>
      </c>
      <c r="S23" s="62">
        <v>826.23900000000003</v>
      </c>
      <c r="T23" s="62">
        <f t="shared" si="6"/>
        <v>826.23900000000003</v>
      </c>
      <c r="U23" s="62">
        <v>0</v>
      </c>
      <c r="V23" s="62">
        <v>834.06899999999996</v>
      </c>
      <c r="W23" s="62">
        <f t="shared" si="7"/>
        <v>834.06899999999996</v>
      </c>
      <c r="X23" s="62">
        <v>0</v>
      </c>
      <c r="Y23" s="62">
        <v>764.44200000000001</v>
      </c>
      <c r="Z23" s="62">
        <f t="shared" si="8"/>
        <v>764.44200000000001</v>
      </c>
      <c r="AA23" s="63">
        <v>0</v>
      </c>
      <c r="AB23" s="62">
        <v>1478.0889999999999</v>
      </c>
      <c r="AC23" s="62">
        <f t="shared" si="9"/>
        <v>1478.0889999999999</v>
      </c>
      <c r="AD23" s="63">
        <v>0</v>
      </c>
      <c r="AE23" s="62">
        <v>1214.4159999999999</v>
      </c>
      <c r="AF23" s="62">
        <f t="shared" si="38"/>
        <v>1214.4159999999999</v>
      </c>
      <c r="AG23" s="63">
        <v>0</v>
      </c>
      <c r="AH23" s="62">
        <v>1882.797</v>
      </c>
      <c r="AI23" s="62">
        <f t="shared" si="10"/>
        <v>1882.797</v>
      </c>
      <c r="AJ23" s="48" t="s">
        <v>540</v>
      </c>
      <c r="AK23" s="65">
        <v>410942</v>
      </c>
      <c r="AL23" s="65">
        <v>359235</v>
      </c>
      <c r="AM23" s="65">
        <v>520805</v>
      </c>
      <c r="AN23" s="79">
        <v>338349</v>
      </c>
      <c r="AO23" s="79">
        <v>344340</v>
      </c>
      <c r="AP23" s="79">
        <v>318335</v>
      </c>
      <c r="AQ23" s="65">
        <v>602604</v>
      </c>
      <c r="AR23" s="65">
        <v>499361</v>
      </c>
      <c r="AS23" s="65">
        <v>749727</v>
      </c>
      <c r="AT23" s="66">
        <f t="shared" si="11"/>
        <v>394.54926705250261</v>
      </c>
      <c r="AU23" s="66">
        <f t="shared" si="12"/>
        <v>403.74325240148761</v>
      </c>
      <c r="AV23" s="66">
        <f t="shared" si="13"/>
        <v>397.603257139498</v>
      </c>
      <c r="AW23" s="66">
        <f t="shared" si="14"/>
        <v>409.50499794853545</v>
      </c>
      <c r="AX23" s="66">
        <f t="shared" si="15"/>
        <v>412.84354172136841</v>
      </c>
      <c r="AY23" s="66">
        <f t="shared" si="16"/>
        <v>416.42793043814964</v>
      </c>
      <c r="AZ23" s="66">
        <f t="shared" si="79"/>
        <v>407.69128245998718</v>
      </c>
      <c r="BA23" s="66">
        <f t="shared" si="60"/>
        <v>411.19435185307179</v>
      </c>
      <c r="BB23" s="66">
        <f>AS23/AI23</f>
        <v>398.19853122774254</v>
      </c>
      <c r="BC23" s="68">
        <f t="shared" si="17"/>
        <v>4143698</v>
      </c>
      <c r="BD23" s="68">
        <f t="shared" si="18"/>
        <v>405.75071247137146</v>
      </c>
      <c r="BE23" s="68">
        <f t="shared" si="0"/>
        <v>3.6492641752399209</v>
      </c>
      <c r="BF23" s="69">
        <f t="shared" si="19"/>
        <v>9.249197704767953E-3</v>
      </c>
      <c r="BG23" s="70" t="str" cm="1">
        <f t="array" ref="BG23">_xlfn.IFS(BF23&gt;0%,"Incremento",BF23=0%,"Stazionarietà",BF23&lt;0%,"Diminuzione")</f>
        <v>Incremento</v>
      </c>
      <c r="BH23" s="85" t="s">
        <v>155</v>
      </c>
      <c r="BI23" s="72" t="s">
        <v>180</v>
      </c>
      <c r="BJ23" s="73">
        <v>89.042000000000002</v>
      </c>
      <c r="BK23" s="73">
        <v>92.855000000000004</v>
      </c>
      <c r="BL23" s="73">
        <v>134.44399999999999</v>
      </c>
      <c r="BM23" s="74">
        <v>46.106999999999999</v>
      </c>
      <c r="BN23" s="74">
        <v>95.706999999999994</v>
      </c>
      <c r="BO23" s="74">
        <v>87.051000000000002</v>
      </c>
      <c r="BP23" s="73">
        <v>174.55500000000001</v>
      </c>
      <c r="BQ23" s="73">
        <v>140.43700000000001</v>
      </c>
      <c r="BR23" s="73">
        <v>202.26400000000001</v>
      </c>
      <c r="BS23" s="62">
        <f t="shared" si="20"/>
        <v>8.549005902752442E-2</v>
      </c>
      <c r="BT23" s="62">
        <f t="shared" si="21"/>
        <v>0.10435948529998507</v>
      </c>
      <c r="BU23" s="62">
        <f t="shared" si="22"/>
        <v>0.10263989843197101</v>
      </c>
      <c r="BV23" s="62">
        <f t="shared" si="23"/>
        <v>5.5803466067324344E-2</v>
      </c>
      <c r="BW23" s="62">
        <f t="shared" si="24"/>
        <v>0.11474710125900854</v>
      </c>
      <c r="BX23" s="62">
        <f t="shared" si="25"/>
        <v>0.11387521878703682</v>
      </c>
      <c r="BY23" s="62">
        <f t="shared" si="55"/>
        <v>0.11809505381610987</v>
      </c>
      <c r="BZ23" s="62">
        <f t="shared" si="77"/>
        <v>0.11564159233738687</v>
      </c>
      <c r="CA23" s="62">
        <f t="shared" si="57"/>
        <v>0.10742740720321947</v>
      </c>
      <c r="CB23" s="62">
        <f t="shared" si="26"/>
        <v>1062.462</v>
      </c>
      <c r="CC23" s="62">
        <f t="shared" si="72"/>
        <v>0.1020088091366185</v>
      </c>
      <c r="CD23" s="75">
        <f t="shared" si="27"/>
        <v>2.1937348175695051E-2</v>
      </c>
      <c r="CE23" s="69">
        <f t="shared" si="28"/>
        <v>0.25660700700454653</v>
      </c>
      <c r="CF23" s="70" t="str" cm="1">
        <f t="array" ref="CF23">_xlfn.IFS(CE23&gt;0%,"Incremento",CE23=0%,"Stazionarietà",CE23&lt;0%,"Diminuzione")</f>
        <v>Incremento</v>
      </c>
      <c r="CG23" s="73">
        <v>5.4870000000000001</v>
      </c>
      <c r="CH23" s="73">
        <v>7.5789999999999997</v>
      </c>
      <c r="CI23" s="73">
        <v>12.823</v>
      </c>
      <c r="CJ23" s="74">
        <v>5.8129999999999997</v>
      </c>
      <c r="CK23" s="74">
        <v>11.465999999999999</v>
      </c>
      <c r="CL23" s="74">
        <v>11.257999999999999</v>
      </c>
      <c r="CM23" s="73">
        <v>23.99</v>
      </c>
      <c r="CN23" s="73">
        <v>19.440999999999999</v>
      </c>
      <c r="CO23" s="73">
        <v>13.798</v>
      </c>
      <c r="CP23" s="73">
        <f t="shared" si="29"/>
        <v>5.2681201442468326E-3</v>
      </c>
      <c r="CQ23" s="73">
        <f t="shared" si="30"/>
        <v>8.5180177598253911E-3</v>
      </c>
      <c r="CR23" s="73">
        <f t="shared" si="31"/>
        <v>9.7895883609024157E-3</v>
      </c>
      <c r="CS23" s="73">
        <f t="shared" si="32"/>
        <v>7.0354945723937017E-3</v>
      </c>
      <c r="CT23" s="73">
        <f t="shared" si="33"/>
        <v>1.3747064091819741E-2</v>
      </c>
      <c r="CU23" s="73">
        <f t="shared" si="34"/>
        <v>1.4727081976134225E-2</v>
      </c>
      <c r="CV23" s="73">
        <f t="shared" si="80"/>
        <v>1.6230416436358027E-2</v>
      </c>
      <c r="CW23" s="73">
        <f t="shared" si="78"/>
        <v>1.6008517674338942E-2</v>
      </c>
      <c r="CX23" s="73">
        <f t="shared" si="62"/>
        <v>7.328458670796692E-3</v>
      </c>
      <c r="CY23" s="73">
        <f t="shared" si="35"/>
        <v>111.655</v>
      </c>
      <c r="CZ23" s="73">
        <f t="shared" si="73"/>
        <v>1.0961417742979552E-2</v>
      </c>
      <c r="DA23" s="74">
        <f>CX23-CP23</f>
        <v>2.0603385265498594E-3</v>
      </c>
      <c r="DB23" s="69">
        <f>(CX23/CP23)-1</f>
        <v>0.39109558440877579</v>
      </c>
      <c r="DC23" s="70" t="str" cm="1">
        <f t="array" ref="DC23">_xlfn.IFS(DB23&gt;0%,"Incremento",DB23=0%,"Stazionarietà",DB23&lt;0%,"Diminuzione")</f>
        <v>Incremento</v>
      </c>
      <c r="DD23" s="73" t="s">
        <v>151</v>
      </c>
      <c r="DE23" s="73" t="s">
        <v>151</v>
      </c>
      <c r="DF23" s="73" t="s">
        <v>151</v>
      </c>
      <c r="DG23" s="74" t="s">
        <v>151</v>
      </c>
      <c r="DH23" s="74" t="s">
        <v>151</v>
      </c>
      <c r="DI23" s="74" t="s">
        <v>151</v>
      </c>
      <c r="DJ23" s="73" t="s">
        <v>151</v>
      </c>
      <c r="DK23" s="73" t="s">
        <v>151</v>
      </c>
      <c r="DL23" s="73" t="s">
        <v>151</v>
      </c>
      <c r="DM23" s="73" t="s">
        <v>151</v>
      </c>
      <c r="DN23" s="73" t="s">
        <v>151</v>
      </c>
      <c r="DO23" s="73" t="s">
        <v>151</v>
      </c>
      <c r="DP23" s="73" t="s">
        <v>151</v>
      </c>
      <c r="DQ23" s="73" t="s">
        <v>151</v>
      </c>
      <c r="DR23" s="73" t="s">
        <v>151</v>
      </c>
      <c r="DS23" s="73" t="s">
        <v>151</v>
      </c>
      <c r="DT23" s="73" t="s">
        <v>151</v>
      </c>
      <c r="DU23" s="73" t="s">
        <v>151</v>
      </c>
      <c r="DV23" s="73">
        <f t="shared" si="47"/>
        <v>0</v>
      </c>
      <c r="DW23" s="73">
        <f t="shared" si="37"/>
        <v>0</v>
      </c>
      <c r="DX23" s="74" t="s">
        <v>151</v>
      </c>
      <c r="DY23" s="70" t="s">
        <v>151</v>
      </c>
      <c r="DZ23" s="70" t="s">
        <v>151</v>
      </c>
    </row>
    <row r="24" spans="1:130" x14ac:dyDescent="0.3">
      <c r="A24" s="88" t="s">
        <v>35</v>
      </c>
      <c r="B24" s="88" t="s">
        <v>36</v>
      </c>
      <c r="C24" s="88" t="s">
        <v>110</v>
      </c>
      <c r="D24" s="88">
        <v>2007000094</v>
      </c>
      <c r="E24" s="88" t="s">
        <v>89</v>
      </c>
      <c r="F24" s="48">
        <v>630</v>
      </c>
      <c r="G24" s="61" t="s">
        <v>151</v>
      </c>
      <c r="H24" s="61" t="s">
        <v>151</v>
      </c>
      <c r="I24" s="62">
        <v>0</v>
      </c>
      <c r="J24" s="62">
        <v>540.70600000000002</v>
      </c>
      <c r="K24" s="62">
        <f t="shared" si="3"/>
        <v>540.70600000000002</v>
      </c>
      <c r="L24" s="62">
        <v>0</v>
      </c>
      <c r="M24" s="62">
        <v>183.50899999999999</v>
      </c>
      <c r="N24" s="62">
        <f t="shared" si="4"/>
        <v>183.50899999999999</v>
      </c>
      <c r="O24" s="62">
        <v>0</v>
      </c>
      <c r="P24" s="62">
        <v>191.01599999999999</v>
      </c>
      <c r="Q24" s="62">
        <f t="shared" si="5"/>
        <v>191.01599999999999</v>
      </c>
      <c r="R24" s="62">
        <v>0</v>
      </c>
      <c r="S24" s="62">
        <v>41.113999999999997</v>
      </c>
      <c r="T24" s="62">
        <f t="shared" si="6"/>
        <v>41.113999999999997</v>
      </c>
      <c r="U24" s="62">
        <v>0</v>
      </c>
      <c r="V24" s="62">
        <v>143.11199999999999</v>
      </c>
      <c r="W24" s="62">
        <f t="shared" si="7"/>
        <v>143.11199999999999</v>
      </c>
      <c r="X24" s="62">
        <v>0</v>
      </c>
      <c r="Y24" s="62">
        <v>847.02700000000004</v>
      </c>
      <c r="Z24" s="62">
        <f t="shared" si="8"/>
        <v>847.02700000000004</v>
      </c>
      <c r="AA24" s="63">
        <v>0</v>
      </c>
      <c r="AB24" s="62">
        <v>1686.731</v>
      </c>
      <c r="AC24" s="62">
        <f t="shared" si="9"/>
        <v>1686.731</v>
      </c>
      <c r="AD24" s="63">
        <v>0</v>
      </c>
      <c r="AE24" s="62">
        <v>1427.009</v>
      </c>
      <c r="AF24" s="62">
        <f t="shared" si="38"/>
        <v>1427.009</v>
      </c>
      <c r="AG24" s="63">
        <v>0</v>
      </c>
      <c r="AH24" s="62">
        <v>1873.729</v>
      </c>
      <c r="AI24" s="62">
        <f t="shared" si="10"/>
        <v>1873.729</v>
      </c>
      <c r="AJ24" s="48" t="s">
        <v>537</v>
      </c>
      <c r="AK24" s="65">
        <v>219339</v>
      </c>
      <c r="AL24" s="65">
        <v>81670</v>
      </c>
      <c r="AM24" s="65">
        <v>85982</v>
      </c>
      <c r="AN24" s="79">
        <v>21814</v>
      </c>
      <c r="AO24" s="79">
        <v>63226</v>
      </c>
      <c r="AP24" s="79">
        <v>333814</v>
      </c>
      <c r="AQ24" s="65">
        <v>655251</v>
      </c>
      <c r="AR24" s="65">
        <v>551016</v>
      </c>
      <c r="AS24" s="65">
        <v>712903</v>
      </c>
      <c r="AT24" s="66">
        <f t="shared" si="11"/>
        <v>405.65297962293738</v>
      </c>
      <c r="AU24" s="66">
        <f t="shared" si="12"/>
        <v>445.0462920074765</v>
      </c>
      <c r="AV24" s="66">
        <f t="shared" si="13"/>
        <v>450.12983205595344</v>
      </c>
      <c r="AW24" s="66">
        <f t="shared" si="14"/>
        <v>530.57352726565159</v>
      </c>
      <c r="AX24" s="66">
        <f t="shared" si="15"/>
        <v>441.79383978981497</v>
      </c>
      <c r="AY24" s="66">
        <f t="shared" si="16"/>
        <v>394.10077836952064</v>
      </c>
      <c r="AZ24" s="66">
        <f t="shared" si="79"/>
        <v>388.47391789206461</v>
      </c>
      <c r="BA24" s="66">
        <f t="shared" si="60"/>
        <v>386.13351422450734</v>
      </c>
      <c r="BB24" s="66">
        <f t="shared" ref="BB24" si="81">AS24/AI24</f>
        <v>380.47284319130461</v>
      </c>
      <c r="BC24" s="68">
        <f t="shared" si="17"/>
        <v>2725015</v>
      </c>
      <c r="BD24" s="68">
        <f t="shared" si="18"/>
        <v>424.70861382435908</v>
      </c>
      <c r="BE24" s="68">
        <f t="shared" si="0"/>
        <v>-25.180136431632775</v>
      </c>
      <c r="BF24" s="69">
        <f t="shared" si="19"/>
        <v>-6.207309620907564E-2</v>
      </c>
      <c r="BG24" s="70" t="str" cm="1">
        <f t="array" ref="BG24">_xlfn.IFS(BF24&gt;0%,"Incremento",BF24=0%,"Stazionarietà",BF24&lt;0%,"Diminuzione")</f>
        <v>Diminuzione</v>
      </c>
      <c r="BH24" s="85" t="s">
        <v>550</v>
      </c>
      <c r="BI24" s="72" t="s">
        <v>180</v>
      </c>
      <c r="BJ24" s="73">
        <v>82.3</v>
      </c>
      <c r="BK24" s="73">
        <v>28.7</v>
      </c>
      <c r="BL24" s="73">
        <v>21.3</v>
      </c>
      <c r="BM24" s="74">
        <v>4.28</v>
      </c>
      <c r="BN24" s="74">
        <v>16</v>
      </c>
      <c r="BO24" s="74">
        <v>95.61</v>
      </c>
      <c r="BP24" s="73">
        <v>180.41</v>
      </c>
      <c r="BQ24" s="73">
        <v>149.79</v>
      </c>
      <c r="BR24" s="73">
        <v>268.26</v>
      </c>
      <c r="BS24" s="62">
        <f t="shared" si="20"/>
        <v>0.15220840900600324</v>
      </c>
      <c r="BT24" s="62">
        <f t="shared" si="21"/>
        <v>0.15639559912592843</v>
      </c>
      <c r="BU24" s="62">
        <f t="shared" si="22"/>
        <v>0.11150898354064581</v>
      </c>
      <c r="BV24" s="62">
        <f t="shared" si="23"/>
        <v>0.10410079291725448</v>
      </c>
      <c r="BW24" s="62">
        <f t="shared" si="24"/>
        <v>0.11180054782268434</v>
      </c>
      <c r="BX24" s="62">
        <f t="shared" si="25"/>
        <v>0.1128771573987606</v>
      </c>
      <c r="BY24" s="62">
        <f t="shared" si="55"/>
        <v>0.10695837095541613</v>
      </c>
      <c r="BZ24" s="62">
        <f t="shared" si="77"/>
        <v>0.10496780328645439</v>
      </c>
      <c r="CA24" s="62">
        <f t="shared" si="57"/>
        <v>0.14316904952637227</v>
      </c>
      <c r="CB24" s="62">
        <f t="shared" si="26"/>
        <v>846.65</v>
      </c>
      <c r="CC24" s="62">
        <f t="shared" si="72"/>
        <v>0.1226651903977244</v>
      </c>
      <c r="CD24" s="75">
        <f t="shared" si="27"/>
        <v>-9.0393594796309706E-3</v>
      </c>
      <c r="CE24" s="69">
        <f t="shared" si="28"/>
        <v>-5.938804260988273E-2</v>
      </c>
      <c r="CF24" s="70" t="str" cm="1">
        <f t="array" ref="CF24">_xlfn.IFS(CE24&gt;0%,"Incremento",CE24=0%,"Stazionarietà",CE24&lt;0%,"Diminuzione")</f>
        <v>Diminuzione</v>
      </c>
      <c r="CG24" s="73">
        <v>4.4800000000000004</v>
      </c>
      <c r="CH24" s="73">
        <v>1.59</v>
      </c>
      <c r="CI24" s="73">
        <v>1.25</v>
      </c>
      <c r="CJ24" s="74">
        <v>0.39</v>
      </c>
      <c r="CK24" s="74">
        <v>2.7</v>
      </c>
      <c r="CL24" s="74">
        <v>17.5</v>
      </c>
      <c r="CM24" s="73">
        <v>27.5</v>
      </c>
      <c r="CN24" s="73">
        <v>25.6</v>
      </c>
      <c r="CO24" s="73">
        <v>57.5</v>
      </c>
      <c r="CP24" s="73">
        <f t="shared" si="29"/>
        <v>8.2854638195248437E-3</v>
      </c>
      <c r="CQ24" s="73">
        <f t="shared" si="30"/>
        <v>8.6644251780566631E-3</v>
      </c>
      <c r="CR24" s="73">
        <f t="shared" si="31"/>
        <v>6.5439544331364913E-3</v>
      </c>
      <c r="CS24" s="73">
        <f t="shared" si="32"/>
        <v>9.4858199153572999E-3</v>
      </c>
      <c r="CT24" s="73">
        <f t="shared" si="33"/>
        <v>1.8866342445077983E-2</v>
      </c>
      <c r="CU24" s="73">
        <f t="shared" si="34"/>
        <v>2.0660498425670019E-2</v>
      </c>
      <c r="CV24" s="73">
        <f t="shared" si="80"/>
        <v>1.6303725964602535E-2</v>
      </c>
      <c r="CW24" s="73">
        <f t="shared" si="78"/>
        <v>1.7939620563009764E-2</v>
      </c>
      <c r="CX24" s="73">
        <f t="shared" si="62"/>
        <v>3.0687468678768381E-2</v>
      </c>
      <c r="CY24" s="73">
        <f t="shared" si="35"/>
        <v>138.51</v>
      </c>
      <c r="CZ24" s="73">
        <f t="shared" si="73"/>
        <v>1.5270813269244886E-2</v>
      </c>
      <c r="DA24" s="74">
        <f t="shared" si="36"/>
        <v>2.2402004859243537E-2</v>
      </c>
      <c r="DB24" s="69">
        <f t="shared" si="71"/>
        <v>2.7037719730852983</v>
      </c>
      <c r="DC24" s="70" t="str" cm="1">
        <f t="array" ref="DC24">_xlfn.IFS(DB24&gt;0%,"Incremento",DB24=0%,"Stazionarietà",DB24&lt;0%,"Diminuzione")</f>
        <v>Incremento</v>
      </c>
      <c r="DD24" s="73" t="s">
        <v>151</v>
      </c>
      <c r="DE24" s="73" t="s">
        <v>151</v>
      </c>
      <c r="DF24" s="73" t="s">
        <v>151</v>
      </c>
      <c r="DG24" s="74" t="s">
        <v>151</v>
      </c>
      <c r="DH24" s="74" t="s">
        <v>151</v>
      </c>
      <c r="DI24" s="74" t="s">
        <v>151</v>
      </c>
      <c r="DJ24" s="73" t="s">
        <v>151</v>
      </c>
      <c r="DK24" s="73" t="s">
        <v>151</v>
      </c>
      <c r="DL24" s="73" t="s">
        <v>151</v>
      </c>
      <c r="DM24" s="73" t="s">
        <v>151</v>
      </c>
      <c r="DN24" s="73" t="s">
        <v>151</v>
      </c>
      <c r="DO24" s="73" t="s">
        <v>151</v>
      </c>
      <c r="DP24" s="73" t="s">
        <v>151</v>
      </c>
      <c r="DQ24" s="73" t="s">
        <v>151</v>
      </c>
      <c r="DR24" s="73" t="s">
        <v>151</v>
      </c>
      <c r="DS24" s="73" t="s">
        <v>151</v>
      </c>
      <c r="DT24" s="73" t="s">
        <v>151</v>
      </c>
      <c r="DU24" s="73" t="s">
        <v>151</v>
      </c>
      <c r="DV24" s="73">
        <f t="shared" si="47"/>
        <v>0</v>
      </c>
      <c r="DW24" s="73">
        <f t="shared" si="37"/>
        <v>0</v>
      </c>
      <c r="DX24" s="74" t="s">
        <v>151</v>
      </c>
      <c r="DY24" s="70" t="s">
        <v>151</v>
      </c>
      <c r="DZ24" s="70" t="s">
        <v>151</v>
      </c>
    </row>
    <row r="25" spans="1:130" x14ac:dyDescent="0.3">
      <c r="A25" s="88" t="s">
        <v>37</v>
      </c>
      <c r="B25" s="88" t="s">
        <v>38</v>
      </c>
      <c r="C25" s="88" t="s">
        <v>111</v>
      </c>
      <c r="D25" s="88">
        <v>2010000030</v>
      </c>
      <c r="E25" s="88" t="s">
        <v>89</v>
      </c>
      <c r="F25" s="48">
        <v>1540</v>
      </c>
      <c r="G25" s="61">
        <v>149</v>
      </c>
      <c r="H25" s="61">
        <v>50</v>
      </c>
      <c r="I25" s="62">
        <v>412.822</v>
      </c>
      <c r="J25" s="62">
        <v>371.738</v>
      </c>
      <c r="K25" s="62">
        <f t="shared" si="3"/>
        <v>784.56</v>
      </c>
      <c r="L25" s="62">
        <v>423.49700000000001</v>
      </c>
      <c r="M25" s="62">
        <v>374.36399999999998</v>
      </c>
      <c r="N25" s="62">
        <f t="shared" si="4"/>
        <v>797.86099999999999</v>
      </c>
      <c r="O25" s="62">
        <v>414.31099999999998</v>
      </c>
      <c r="P25" s="62">
        <v>360.47300000000001</v>
      </c>
      <c r="Q25" s="62">
        <f t="shared" si="5"/>
        <v>774.78399999999999</v>
      </c>
      <c r="R25" s="62">
        <v>430.93599999999998</v>
      </c>
      <c r="S25" s="62">
        <v>372.34399999999999</v>
      </c>
      <c r="T25" s="62">
        <f t="shared" si="6"/>
        <v>803.28</v>
      </c>
      <c r="U25" s="62">
        <v>426.28500000000003</v>
      </c>
      <c r="V25" s="62">
        <v>377.21</v>
      </c>
      <c r="W25" s="62">
        <f t="shared" si="7"/>
        <v>803.495</v>
      </c>
      <c r="X25" s="62">
        <v>416.90699999999998</v>
      </c>
      <c r="Y25" s="62">
        <v>387.875</v>
      </c>
      <c r="Z25" s="62">
        <f t="shared" si="8"/>
        <v>804.78199999999993</v>
      </c>
      <c r="AA25" s="63">
        <v>422.08600000000001</v>
      </c>
      <c r="AB25" s="62">
        <v>380.24200000000002</v>
      </c>
      <c r="AC25" s="62">
        <f t="shared" si="9"/>
        <v>802.32799999999997</v>
      </c>
      <c r="AD25" s="63">
        <v>417.82</v>
      </c>
      <c r="AE25" s="62">
        <v>361.78899999999999</v>
      </c>
      <c r="AF25" s="62">
        <f t="shared" si="38"/>
        <v>779.60899999999992</v>
      </c>
      <c r="AG25" s="63">
        <v>384.101</v>
      </c>
      <c r="AH25" s="62">
        <v>342.11399999999998</v>
      </c>
      <c r="AI25" s="62">
        <f t="shared" si="10"/>
        <v>726.21499999999992</v>
      </c>
      <c r="AJ25" s="48" t="s">
        <v>551</v>
      </c>
      <c r="AK25" s="65">
        <v>200918</v>
      </c>
      <c r="AL25" s="65">
        <v>199907</v>
      </c>
      <c r="AM25" s="65">
        <v>191381</v>
      </c>
      <c r="AN25" s="79">
        <v>196933</v>
      </c>
      <c r="AO25" s="79">
        <v>199628</v>
      </c>
      <c r="AP25" s="79">
        <v>201263</v>
      </c>
      <c r="AQ25" s="65">
        <v>199335</v>
      </c>
      <c r="AR25" s="65">
        <v>193251</v>
      </c>
      <c r="AS25" s="65">
        <v>181287</v>
      </c>
      <c r="AT25" s="66">
        <f t="shared" si="11"/>
        <v>256.09003772815339</v>
      </c>
      <c r="AU25" s="66">
        <f t="shared" si="12"/>
        <v>250.55366786946598</v>
      </c>
      <c r="AV25" s="66">
        <f t="shared" si="13"/>
        <v>247.01207046092847</v>
      </c>
      <c r="AW25" s="66">
        <f t="shared" si="14"/>
        <v>245.16108953291507</v>
      </c>
      <c r="AX25" s="66">
        <f t="shared" si="15"/>
        <v>248.44958587172292</v>
      </c>
      <c r="AY25" s="66">
        <f t="shared" si="16"/>
        <v>250.08387364528534</v>
      </c>
      <c r="AZ25" s="66">
        <f>AQ25/AC25</f>
        <v>248.44577280114868</v>
      </c>
      <c r="BA25" s="66">
        <f t="shared" si="60"/>
        <v>247.8819510806058</v>
      </c>
      <c r="BB25" s="66">
        <f>AS25/AI25</f>
        <v>249.63268453557146</v>
      </c>
      <c r="BC25" s="68">
        <f t="shared" si="17"/>
        <v>1763903</v>
      </c>
      <c r="BD25" s="68">
        <f t="shared" si="18"/>
        <v>249.25674816953304</v>
      </c>
      <c r="BE25" s="68">
        <f t="shared" si="0"/>
        <v>-6.4573531925819339</v>
      </c>
      <c r="BF25" s="69">
        <f t="shared" si="19"/>
        <v>-2.5215167485103773E-2</v>
      </c>
      <c r="BG25" s="70" t="str" cm="1">
        <f t="array" ref="BG25">_xlfn.IFS(BF25&gt;0%,"Incremento",BF25=0%,"Stazionarietà",BF25&lt;0%,"Diminuzione")</f>
        <v>Diminuzione</v>
      </c>
      <c r="BH25" s="91" t="s">
        <v>552</v>
      </c>
      <c r="BI25" s="72" t="s">
        <v>182</v>
      </c>
      <c r="BJ25" s="73">
        <v>167.126</v>
      </c>
      <c r="BK25" s="73">
        <v>154.042</v>
      </c>
      <c r="BL25" s="73">
        <v>148.953</v>
      </c>
      <c r="BM25" s="74">
        <v>150.018</v>
      </c>
      <c r="BN25" s="74">
        <v>146.33699999999999</v>
      </c>
      <c r="BO25" s="74">
        <v>143.95699999999999</v>
      </c>
      <c r="BP25" s="73">
        <v>89.873000000000005</v>
      </c>
      <c r="BQ25" s="73">
        <v>90.406999999999996</v>
      </c>
      <c r="BR25" s="73">
        <v>78.653000000000006</v>
      </c>
      <c r="BS25" s="62">
        <f t="shared" si="20"/>
        <v>0.21301876210869788</v>
      </c>
      <c r="BT25" s="62">
        <f t="shared" si="21"/>
        <v>0.19306871748337118</v>
      </c>
      <c r="BU25" s="62">
        <f t="shared" si="22"/>
        <v>0.1922510015694697</v>
      </c>
      <c r="BV25" s="62">
        <f t="shared" si="23"/>
        <v>0.1867567971317598</v>
      </c>
      <c r="BW25" s="62">
        <f t="shared" si="24"/>
        <v>0.18212558883378241</v>
      </c>
      <c r="BX25" s="62">
        <f t="shared" si="25"/>
        <v>0.17887701265684372</v>
      </c>
      <c r="BY25" s="62">
        <f t="shared" si="55"/>
        <v>0.11201528551913931</v>
      </c>
      <c r="BZ25" s="62">
        <f t="shared" si="77"/>
        <v>0.11596454119949873</v>
      </c>
      <c r="CA25" s="62">
        <f t="shared" si="57"/>
        <v>0.10830539165398678</v>
      </c>
      <c r="CB25" s="62">
        <f t="shared" si="26"/>
        <v>1169.366</v>
      </c>
      <c r="CC25" s="62">
        <f t="shared" si="72"/>
        <v>0.16470923312850549</v>
      </c>
      <c r="CD25" s="75">
        <f t="shared" si="27"/>
        <v>-0.1047133704547111</v>
      </c>
      <c r="CE25" s="69">
        <f t="shared" si="28"/>
        <v>-0.49156876801902838</v>
      </c>
      <c r="CF25" s="70" t="str" cm="1">
        <f t="array" ref="CF25">_xlfn.IFS(CE25&gt;0%,"Incremento",CE25=0%,"Stazionarietà",CE25&lt;0%,"Diminuzione")</f>
        <v>Diminuzione</v>
      </c>
      <c r="CG25" s="73">
        <v>83.305000000000007</v>
      </c>
      <c r="CH25" s="73">
        <v>76.950999999999993</v>
      </c>
      <c r="CI25" s="73">
        <v>43.594999999999999</v>
      </c>
      <c r="CJ25" s="74">
        <v>44.478999999999999</v>
      </c>
      <c r="CK25" s="74">
        <v>38.398000000000003</v>
      </c>
      <c r="CL25" s="74">
        <v>51.334000000000003</v>
      </c>
      <c r="CM25" s="73">
        <v>44.322000000000003</v>
      </c>
      <c r="CN25" s="73">
        <v>46.258000000000003</v>
      </c>
      <c r="CO25" s="73">
        <v>41.128999999999998</v>
      </c>
      <c r="CP25" s="73">
        <f t="shared" si="29"/>
        <v>0.10618053431222597</v>
      </c>
      <c r="CQ25" s="73">
        <f t="shared" si="30"/>
        <v>9.6446624161351413E-2</v>
      </c>
      <c r="CR25" s="73">
        <f t="shared" si="31"/>
        <v>5.6267295142904343E-2</v>
      </c>
      <c r="CS25" s="73">
        <f t="shared" si="32"/>
        <v>5.5371725923712777E-2</v>
      </c>
      <c r="CT25" s="73">
        <f t="shared" si="33"/>
        <v>4.7788723016322449E-2</v>
      </c>
      <c r="CU25" s="73">
        <f t="shared" si="34"/>
        <v>6.378621788260673E-2</v>
      </c>
      <c r="CV25" s="73">
        <f t="shared" si="80"/>
        <v>5.5241746517633694E-2</v>
      </c>
      <c r="CW25" s="73">
        <f t="shared" si="78"/>
        <v>5.9334871711332227E-2</v>
      </c>
      <c r="CX25" s="73">
        <f t="shared" si="62"/>
        <v>5.6634743154575437E-2</v>
      </c>
      <c r="CY25" s="73">
        <f t="shared" si="35"/>
        <v>469.77100000000002</v>
      </c>
      <c r="CZ25" s="73">
        <f t="shared" si="73"/>
        <v>6.6339164646962781E-2</v>
      </c>
      <c r="DA25" s="74">
        <f t="shared" si="36"/>
        <v>-4.9545791157650537E-2</v>
      </c>
      <c r="DB25" s="69">
        <f t="shared" si="71"/>
        <v>-0.4666184011841582</v>
      </c>
      <c r="DC25" s="70" t="str" cm="1">
        <f t="array" ref="DC25">_xlfn.IFS(DB25&gt;0%,"Incremento",DB25=0%,"Stazionarietà",DB25&lt;0%,"Diminuzione")</f>
        <v>Diminuzione</v>
      </c>
      <c r="DD25" s="73" t="s">
        <v>151</v>
      </c>
      <c r="DE25" s="73" t="s">
        <v>151</v>
      </c>
      <c r="DF25" s="73" t="s">
        <v>151</v>
      </c>
      <c r="DG25" s="74" t="s">
        <v>151</v>
      </c>
      <c r="DH25" s="74" t="s">
        <v>151</v>
      </c>
      <c r="DI25" s="74" t="s">
        <v>151</v>
      </c>
      <c r="DJ25" s="73" t="s">
        <v>151</v>
      </c>
      <c r="DK25" s="73" t="s">
        <v>151</v>
      </c>
      <c r="DL25" s="73" t="s">
        <v>151</v>
      </c>
      <c r="DM25" s="73" t="s">
        <v>151</v>
      </c>
      <c r="DN25" s="73" t="s">
        <v>151</v>
      </c>
      <c r="DO25" s="73" t="s">
        <v>151</v>
      </c>
      <c r="DP25" s="73" t="s">
        <v>151</v>
      </c>
      <c r="DQ25" s="73" t="s">
        <v>151</v>
      </c>
      <c r="DR25" s="73" t="s">
        <v>151</v>
      </c>
      <c r="DS25" s="73" t="s">
        <v>151</v>
      </c>
      <c r="DT25" s="73" t="s">
        <v>151</v>
      </c>
      <c r="DU25" s="73" t="s">
        <v>151</v>
      </c>
      <c r="DV25" s="73">
        <f t="shared" si="47"/>
        <v>0</v>
      </c>
      <c r="DW25" s="73">
        <f t="shared" si="37"/>
        <v>0</v>
      </c>
      <c r="DX25" s="74" t="s">
        <v>151</v>
      </c>
      <c r="DY25" s="70" t="s">
        <v>151</v>
      </c>
      <c r="DZ25" s="70" t="s">
        <v>151</v>
      </c>
    </row>
    <row r="26" spans="1:130" x14ac:dyDescent="0.3">
      <c r="A26" s="92" t="s">
        <v>39</v>
      </c>
      <c r="B26" s="92" t="s">
        <v>40</v>
      </c>
      <c r="C26" s="92" t="s">
        <v>112</v>
      </c>
      <c r="D26" s="92">
        <v>2007001965</v>
      </c>
      <c r="E26" s="92"/>
      <c r="F26" s="93"/>
      <c r="G26" s="61">
        <v>95</v>
      </c>
      <c r="H26" s="61">
        <v>80</v>
      </c>
      <c r="I26" s="62">
        <v>252.97166000000001</v>
      </c>
      <c r="J26" s="62">
        <v>384.52868000000001</v>
      </c>
      <c r="K26" s="62">
        <f t="shared" si="3"/>
        <v>637.50034000000005</v>
      </c>
      <c r="L26" s="62">
        <v>258.27508399999999</v>
      </c>
      <c r="M26" s="62">
        <v>331.99569000000002</v>
      </c>
      <c r="N26" s="62">
        <f t="shared" si="4"/>
        <v>590.27077400000007</v>
      </c>
      <c r="O26" s="62">
        <v>270.267762</v>
      </c>
      <c r="P26" s="62">
        <v>271.87783000000002</v>
      </c>
      <c r="Q26" s="62">
        <f t="shared" si="5"/>
        <v>542.14559200000008</v>
      </c>
      <c r="R26" s="62">
        <v>250.74277799999999</v>
      </c>
      <c r="S26" s="62">
        <v>219.45094</v>
      </c>
      <c r="T26" s="62">
        <f t="shared" si="6"/>
        <v>470.19371799999999</v>
      </c>
      <c r="U26" s="62">
        <v>266.87487099999998</v>
      </c>
      <c r="V26" s="62">
        <v>219.31908000000001</v>
      </c>
      <c r="W26" s="62">
        <f t="shared" si="7"/>
        <v>486.19395099999997</v>
      </c>
      <c r="X26" s="62">
        <v>221.64931899999999</v>
      </c>
      <c r="Y26" s="62">
        <v>226.253848</v>
      </c>
      <c r="Z26" s="62">
        <f t="shared" si="8"/>
        <v>447.903167</v>
      </c>
      <c r="AA26" s="63">
        <v>274.17599999999999</v>
      </c>
      <c r="AB26" s="62">
        <v>243.917</v>
      </c>
      <c r="AC26" s="62">
        <f t="shared" si="9"/>
        <v>518.09299999999996</v>
      </c>
      <c r="AD26" s="63">
        <v>283.45499999999998</v>
      </c>
      <c r="AE26" s="62">
        <v>231.08</v>
      </c>
      <c r="AF26" s="62">
        <f t="shared" si="38"/>
        <v>514.53499999999997</v>
      </c>
      <c r="AG26" s="63">
        <v>292.56700000000001</v>
      </c>
      <c r="AH26" s="62">
        <v>231.364</v>
      </c>
      <c r="AI26" s="62">
        <f t="shared" si="10"/>
        <v>523.93100000000004</v>
      </c>
      <c r="AJ26" s="48" t="s">
        <v>549</v>
      </c>
      <c r="AK26" s="65">
        <v>181265</v>
      </c>
      <c r="AL26" s="65">
        <v>163373</v>
      </c>
      <c r="AM26" s="65">
        <v>140865</v>
      </c>
      <c r="AN26" s="79">
        <v>117224</v>
      </c>
      <c r="AO26" s="79">
        <v>116481</v>
      </c>
      <c r="AP26" s="79">
        <v>120576</v>
      </c>
      <c r="AQ26" s="65">
        <v>127073</v>
      </c>
      <c r="AR26" s="65">
        <v>119120</v>
      </c>
      <c r="AS26" s="65">
        <v>118436</v>
      </c>
      <c r="AT26" s="66">
        <f>AK26/K26</f>
        <v>284.33710325550567</v>
      </c>
      <c r="AU26" s="66">
        <f t="shared" si="12"/>
        <v>276.77636636639573</v>
      </c>
      <c r="AV26" s="66">
        <f t="shared" si="13"/>
        <v>259.82872881128208</v>
      </c>
      <c r="AW26" s="66">
        <f t="shared" si="14"/>
        <v>249.3100088589444</v>
      </c>
      <c r="AX26" s="66">
        <f t="shared" si="15"/>
        <v>239.57722995200325</v>
      </c>
      <c r="AY26" s="66">
        <f t="shared" si="16"/>
        <v>269.20104362646759</v>
      </c>
      <c r="AZ26" s="66">
        <f t="shared" ref="AZ26:AZ39" si="82">AQ26/AC26</f>
        <v>245.27063673896387</v>
      </c>
      <c r="BA26" s="66">
        <f t="shared" si="60"/>
        <v>231.51000417853015</v>
      </c>
      <c r="BB26" s="66">
        <f t="shared" ref="BB26:BB29" si="83">AS26/AI26</f>
        <v>226.05266724053357</v>
      </c>
      <c r="BC26" s="68">
        <f t="shared" si="17"/>
        <v>1204413</v>
      </c>
      <c r="BD26" s="68">
        <f t="shared" si="18"/>
        <v>253.54042100318071</v>
      </c>
      <c r="BE26" s="68">
        <f t="shared" si="0"/>
        <v>-58.284436014972101</v>
      </c>
      <c r="BF26" s="69">
        <f t="shared" si="19"/>
        <v>-0.2049835752972331</v>
      </c>
      <c r="BG26" s="70" t="str" cm="1">
        <f t="array" ref="BG26">_xlfn.IFS(BF26&gt;0%,"Incremento",BF26=0%,"Stazionarietà",BF26&lt;0%,"Diminuzione")</f>
        <v>Diminuzione</v>
      </c>
      <c r="BH26" s="91" t="s">
        <v>553</v>
      </c>
      <c r="BI26" s="72" t="s">
        <v>182</v>
      </c>
      <c r="BJ26" s="73">
        <v>111.4</v>
      </c>
      <c r="BK26" s="73">
        <v>106.7</v>
      </c>
      <c r="BL26" s="73">
        <v>82.48</v>
      </c>
      <c r="BM26" s="74">
        <v>83</v>
      </c>
      <c r="BN26" s="74">
        <v>91</v>
      </c>
      <c r="BO26" s="74">
        <v>93</v>
      </c>
      <c r="BP26" s="73">
        <v>74</v>
      </c>
      <c r="BQ26" s="73">
        <v>106</v>
      </c>
      <c r="BR26" s="73">
        <v>128</v>
      </c>
      <c r="BS26" s="62">
        <f t="shared" si="20"/>
        <v>0.17474500484187977</v>
      </c>
      <c r="BT26" s="62">
        <f t="shared" si="21"/>
        <v>0.18076449775234846</v>
      </c>
      <c r="BU26" s="62">
        <f t="shared" si="22"/>
        <v>0.15213625494164304</v>
      </c>
      <c r="BV26" s="62">
        <f t="shared" si="23"/>
        <v>0.17652298791452592</v>
      </c>
      <c r="BW26" s="62">
        <f t="shared" si="24"/>
        <v>0.18716810403097756</v>
      </c>
      <c r="BX26" s="62">
        <f t="shared" si="25"/>
        <v>0.20763416481937935</v>
      </c>
      <c r="BY26" s="62">
        <f t="shared" si="55"/>
        <v>0.14283149936401382</v>
      </c>
      <c r="BZ26" s="62">
        <f t="shared" si="77"/>
        <v>0.20601125287881292</v>
      </c>
      <c r="CA26" s="62">
        <f t="shared" si="57"/>
        <v>0.24430697935415158</v>
      </c>
      <c r="CB26" s="62">
        <f t="shared" si="26"/>
        <v>875.58</v>
      </c>
      <c r="CC26" s="62">
        <f t="shared" si="72"/>
        <v>0.18579119398863694</v>
      </c>
      <c r="CD26" s="75">
        <f t="shared" si="27"/>
        <v>6.9561974512271807E-2</v>
      </c>
      <c r="CE26" s="69">
        <f t="shared" si="28"/>
        <v>0.398077041316379</v>
      </c>
      <c r="CF26" s="70" t="str" cm="1">
        <f t="array" ref="CF26">_xlfn.IFS(CE26&gt;0%,"Incremento",CE26=0%,"Stazionarietà",CE26&lt;0%,"Diminuzione")</f>
        <v>Incremento</v>
      </c>
      <c r="CG26" s="73">
        <v>34</v>
      </c>
      <c r="CH26" s="73">
        <v>41</v>
      </c>
      <c r="CI26" s="73">
        <v>45</v>
      </c>
      <c r="CJ26" s="74">
        <v>44</v>
      </c>
      <c r="CK26" s="74">
        <v>39</v>
      </c>
      <c r="CL26" s="74">
        <v>40</v>
      </c>
      <c r="CM26" s="73">
        <v>47</v>
      </c>
      <c r="CN26" s="73">
        <v>33</v>
      </c>
      <c r="CO26" s="73">
        <v>40</v>
      </c>
      <c r="CP26" s="73">
        <f t="shared" si="29"/>
        <v>5.3333304888904053E-2</v>
      </c>
      <c r="CQ26" s="73">
        <f t="shared" si="30"/>
        <v>6.9459647683657796E-2</v>
      </c>
      <c r="CR26" s="73">
        <f t="shared" si="31"/>
        <v>8.3003533855164124E-2</v>
      </c>
      <c r="CS26" s="73">
        <f t="shared" si="32"/>
        <v>9.3578451424567943E-2</v>
      </c>
      <c r="CT26" s="73">
        <f t="shared" si="33"/>
        <v>8.0214901727561808E-2</v>
      </c>
      <c r="CU26" s="73">
        <f t="shared" si="34"/>
        <v>8.9305017126614775E-2</v>
      </c>
      <c r="CV26" s="73">
        <f t="shared" si="80"/>
        <v>9.0717303650116876E-2</v>
      </c>
      <c r="CW26" s="73">
        <f t="shared" si="78"/>
        <v>6.4135578726422893E-2</v>
      </c>
      <c r="CX26" s="73">
        <f t="shared" si="62"/>
        <v>7.6345931048172375E-2</v>
      </c>
      <c r="CY26" s="73">
        <f t="shared" si="35"/>
        <v>363</v>
      </c>
      <c r="CZ26" s="73">
        <f t="shared" si="73"/>
        <v>7.7788185570131396E-2</v>
      </c>
      <c r="DA26" s="74">
        <f t="shared" si="36"/>
        <v>2.3012626159268322E-2</v>
      </c>
      <c r="DB26" s="69">
        <f t="shared" si="71"/>
        <v>0.4314869706125426</v>
      </c>
      <c r="DC26" s="70" t="str" cm="1">
        <f t="array" ref="DC26">_xlfn.IFS(DB26&gt;0%,"Incremento",DB26=0%,"Stazionarietà",DB26&lt;0%,"Diminuzione")</f>
        <v>Incremento</v>
      </c>
      <c r="DD26" s="73" t="s">
        <v>151</v>
      </c>
      <c r="DE26" s="73" t="s">
        <v>151</v>
      </c>
      <c r="DF26" s="73" t="s">
        <v>151</v>
      </c>
      <c r="DG26" s="74" t="s">
        <v>151</v>
      </c>
      <c r="DH26" s="74" t="s">
        <v>151</v>
      </c>
      <c r="DI26" s="74" t="s">
        <v>151</v>
      </c>
      <c r="DJ26" s="73" t="s">
        <v>151</v>
      </c>
      <c r="DK26" s="73" t="s">
        <v>151</v>
      </c>
      <c r="DL26" s="73" t="s">
        <v>151</v>
      </c>
      <c r="DM26" s="73" t="s">
        <v>151</v>
      </c>
      <c r="DN26" s="73" t="s">
        <v>151</v>
      </c>
      <c r="DO26" s="73" t="s">
        <v>151</v>
      </c>
      <c r="DP26" s="73" t="s">
        <v>151</v>
      </c>
      <c r="DQ26" s="73" t="s">
        <v>151</v>
      </c>
      <c r="DR26" s="73" t="s">
        <v>151</v>
      </c>
      <c r="DS26" s="73" t="s">
        <v>151</v>
      </c>
      <c r="DT26" s="73" t="s">
        <v>151</v>
      </c>
      <c r="DU26" s="73" t="s">
        <v>151</v>
      </c>
      <c r="DV26" s="73">
        <f t="shared" si="47"/>
        <v>0</v>
      </c>
      <c r="DW26" s="73">
        <f t="shared" si="37"/>
        <v>0</v>
      </c>
      <c r="DX26" s="74" t="s">
        <v>151</v>
      </c>
      <c r="DY26" s="70" t="s">
        <v>151</v>
      </c>
      <c r="DZ26" s="70" t="s">
        <v>151</v>
      </c>
    </row>
    <row r="27" spans="1:130" x14ac:dyDescent="0.3">
      <c r="A27" s="88" t="s">
        <v>39</v>
      </c>
      <c r="B27" s="88" t="s">
        <v>41</v>
      </c>
      <c r="C27" s="88" t="s">
        <v>112</v>
      </c>
      <c r="D27" s="88">
        <v>2007001966</v>
      </c>
      <c r="E27" s="88" t="s">
        <v>88</v>
      </c>
      <c r="F27" s="48">
        <v>1505</v>
      </c>
      <c r="G27" s="61">
        <v>81</v>
      </c>
      <c r="H27" s="61">
        <v>24</v>
      </c>
      <c r="I27" s="62">
        <v>73.135999999999996</v>
      </c>
      <c r="J27" s="62">
        <v>130.11612</v>
      </c>
      <c r="K27" s="62">
        <f t="shared" si="3"/>
        <v>203.25211999999999</v>
      </c>
      <c r="L27" s="62">
        <v>74.471999999999994</v>
      </c>
      <c r="M27" s="62">
        <v>117.56471000000001</v>
      </c>
      <c r="N27" s="62">
        <f t="shared" si="4"/>
        <v>192.03671</v>
      </c>
      <c r="O27" s="62">
        <v>74.531000000000006</v>
      </c>
      <c r="P27" s="62">
        <v>105.333549</v>
      </c>
      <c r="Q27" s="62">
        <f t="shared" si="5"/>
        <v>179.86454900000001</v>
      </c>
      <c r="R27" s="62">
        <v>66.986999999999995</v>
      </c>
      <c r="S27" s="62">
        <v>88.005539999999996</v>
      </c>
      <c r="T27" s="62">
        <f t="shared" si="6"/>
        <v>154.99253999999999</v>
      </c>
      <c r="U27" s="62">
        <v>99.980999999999995</v>
      </c>
      <c r="V27" s="62">
        <v>107.87009</v>
      </c>
      <c r="W27" s="62">
        <f t="shared" si="7"/>
        <v>207.85109</v>
      </c>
      <c r="X27" s="62">
        <v>123.17299300000001</v>
      </c>
      <c r="Y27" s="62">
        <v>111.68685000000001</v>
      </c>
      <c r="Z27" s="62">
        <f t="shared" si="8"/>
        <v>234.85984300000001</v>
      </c>
      <c r="AA27" s="63">
        <v>127.351</v>
      </c>
      <c r="AB27" s="62">
        <v>116.44199999999999</v>
      </c>
      <c r="AC27" s="62">
        <f t="shared" si="9"/>
        <v>243.79300000000001</v>
      </c>
      <c r="AD27" s="63">
        <v>125.297</v>
      </c>
      <c r="AE27" s="62">
        <v>95.727000000000004</v>
      </c>
      <c r="AF27" s="62">
        <f t="shared" si="38"/>
        <v>221.024</v>
      </c>
      <c r="AG27" s="63">
        <v>127.274</v>
      </c>
      <c r="AH27" s="62">
        <v>90.7</v>
      </c>
      <c r="AI27" s="62">
        <f t="shared" si="10"/>
        <v>217.97399999999999</v>
      </c>
      <c r="AJ27" s="48" t="s">
        <v>549</v>
      </c>
      <c r="AK27" s="65">
        <v>62153</v>
      </c>
      <c r="AL27" s="65">
        <v>56618</v>
      </c>
      <c r="AM27" s="65">
        <v>51716</v>
      </c>
      <c r="AN27" s="79">
        <v>44048</v>
      </c>
      <c r="AO27" s="79">
        <v>57397</v>
      </c>
      <c r="AP27" s="79">
        <v>61836</v>
      </c>
      <c r="AQ27" s="65">
        <v>65117</v>
      </c>
      <c r="AR27" s="65">
        <v>59239</v>
      </c>
      <c r="AS27" s="65">
        <v>57695</v>
      </c>
      <c r="AT27" s="66">
        <f t="shared" si="11"/>
        <v>305.79262838685275</v>
      </c>
      <c r="AU27" s="66">
        <f t="shared" si="12"/>
        <v>294.82904596730492</v>
      </c>
      <c r="AV27" s="66">
        <f t="shared" si="13"/>
        <v>287.5274771350301</v>
      </c>
      <c r="AW27" s="66">
        <f t="shared" si="14"/>
        <v>284.1943231590372</v>
      </c>
      <c r="AX27" s="66">
        <f t="shared" si="15"/>
        <v>276.14481117226762</v>
      </c>
      <c r="AY27" s="66">
        <f t="shared" si="16"/>
        <v>263.28894378082333</v>
      </c>
      <c r="AZ27" s="66">
        <f t="shared" si="82"/>
        <v>267.09954756699329</v>
      </c>
      <c r="BA27" s="66">
        <f t="shared" si="60"/>
        <v>268.02066743883017</v>
      </c>
      <c r="BB27" s="66">
        <f t="shared" si="83"/>
        <v>264.68753154045896</v>
      </c>
      <c r="BC27" s="68">
        <f t="shared" si="17"/>
        <v>515819</v>
      </c>
      <c r="BD27" s="68">
        <f t="shared" si="18"/>
        <v>279.06499734973318</v>
      </c>
      <c r="BE27" s="68">
        <f t="shared" si="0"/>
        <v>-41.105096846393792</v>
      </c>
      <c r="BF27" s="69">
        <f t="shared" si="19"/>
        <v>-0.13442147727116716</v>
      </c>
      <c r="BG27" s="70" t="str" cm="1">
        <f t="array" ref="BG27">_xlfn.IFS(BF27&gt;0%,"Incremento",BF27=0%,"Stazionarietà",BF27&lt;0%,"Diminuzione")</f>
        <v>Diminuzione</v>
      </c>
      <c r="BH27" s="91" t="s">
        <v>553</v>
      </c>
      <c r="BI27" s="72" t="s">
        <v>182</v>
      </c>
      <c r="BJ27" s="73">
        <v>22.9</v>
      </c>
      <c r="BK27" s="73">
        <v>21.3</v>
      </c>
      <c r="BL27" s="73">
        <v>21.78</v>
      </c>
      <c r="BM27" s="74">
        <v>19</v>
      </c>
      <c r="BN27" s="74">
        <v>30.4</v>
      </c>
      <c r="BO27" s="74">
        <v>31</v>
      </c>
      <c r="BP27" s="73">
        <v>19</v>
      </c>
      <c r="BQ27" s="73">
        <v>25</v>
      </c>
      <c r="BR27" s="73">
        <v>23</v>
      </c>
      <c r="BS27" s="62">
        <f t="shared" si="20"/>
        <v>0.11266795150771367</v>
      </c>
      <c r="BT27" s="62">
        <f t="shared" si="21"/>
        <v>0.11091629303584716</v>
      </c>
      <c r="BU27" s="62">
        <f t="shared" si="22"/>
        <v>0.12109112174183918</v>
      </c>
      <c r="BV27" s="62">
        <f t="shared" si="23"/>
        <v>0.12258654513307544</v>
      </c>
      <c r="BW27" s="62">
        <f t="shared" si="24"/>
        <v>0.14625855462196516</v>
      </c>
      <c r="BX27" s="62">
        <f t="shared" si="25"/>
        <v>0.13199361629480438</v>
      </c>
      <c r="BY27" s="62">
        <f t="shared" si="55"/>
        <v>7.7934969420779099E-2</v>
      </c>
      <c r="BZ27" s="62">
        <f t="shared" si="77"/>
        <v>0.11310988851889388</v>
      </c>
      <c r="CA27" s="62">
        <f t="shared" si="57"/>
        <v>0.10551717177278025</v>
      </c>
      <c r="CB27" s="62">
        <f t="shared" si="26"/>
        <v>213.38</v>
      </c>
      <c r="CC27" s="62">
        <f t="shared" si="72"/>
        <v>0.1157862346719665</v>
      </c>
      <c r="CD27" s="75">
        <f t="shared" si="27"/>
        <v>-7.1507797349334157E-3</v>
      </c>
      <c r="CE27" s="69">
        <f t="shared" si="28"/>
        <v>-6.3467735405163928E-2</v>
      </c>
      <c r="CF27" s="70" t="str" cm="1">
        <f t="array" ref="CF27">_xlfn.IFS(CE27&gt;0%,"Incremento",CE27=0%,"Stazionarietà",CE27&lt;0%,"Diminuzione")</f>
        <v>Diminuzione</v>
      </c>
      <c r="CG27" s="73">
        <v>20</v>
      </c>
      <c r="CH27" s="73">
        <v>16.2</v>
      </c>
      <c r="CI27" s="73">
        <v>13.27</v>
      </c>
      <c r="CJ27" s="74">
        <v>15</v>
      </c>
      <c r="CK27" s="74">
        <v>18</v>
      </c>
      <c r="CL27" s="74">
        <v>19</v>
      </c>
      <c r="CM27" s="73">
        <v>14</v>
      </c>
      <c r="CN27" s="73">
        <v>13</v>
      </c>
      <c r="CO27" s="73">
        <v>2.8</v>
      </c>
      <c r="CP27" s="73">
        <f t="shared" si="29"/>
        <v>9.8399957648658234E-2</v>
      </c>
      <c r="CQ27" s="73">
        <f t="shared" si="30"/>
        <v>8.4358870759658394E-2</v>
      </c>
      <c r="CR27" s="73">
        <f t="shared" si="31"/>
        <v>7.3777740381735804E-2</v>
      </c>
      <c r="CS27" s="73">
        <f t="shared" si="32"/>
        <v>9.6778851420849035E-2</v>
      </c>
      <c r="CT27" s="73">
        <f t="shared" si="33"/>
        <v>8.660045997353201E-2</v>
      </c>
      <c r="CU27" s="73">
        <f t="shared" si="34"/>
        <v>8.0899313212944621E-2</v>
      </c>
      <c r="CV27" s="73">
        <f t="shared" si="80"/>
        <v>5.7425766941626703E-2</v>
      </c>
      <c r="CW27" s="73">
        <f t="shared" si="78"/>
        <v>5.8817142029824812E-2</v>
      </c>
      <c r="CX27" s="73">
        <f t="shared" si="62"/>
        <v>1.2845568737555855E-2</v>
      </c>
      <c r="CY27" s="73">
        <f t="shared" si="35"/>
        <v>131.27000000000001</v>
      </c>
      <c r="CZ27" s="73">
        <f t="shared" si="73"/>
        <v>7.2211519011820602E-2</v>
      </c>
      <c r="DA27" s="74">
        <f t="shared" si="36"/>
        <v>-8.5554388911102383E-2</v>
      </c>
      <c r="DB27" s="69">
        <f t="shared" si="71"/>
        <v>-0.86945554607430242</v>
      </c>
      <c r="DC27" s="70" t="str" cm="1">
        <f t="array" ref="DC27">_xlfn.IFS(DB27&gt;0%,"Incremento",DB27=0%,"Stazionarietà",DB27&lt;0%,"Diminuzione")</f>
        <v>Diminuzione</v>
      </c>
      <c r="DD27" s="73" t="s">
        <v>151</v>
      </c>
      <c r="DE27" s="73" t="s">
        <v>151</v>
      </c>
      <c r="DF27" s="73" t="s">
        <v>151</v>
      </c>
      <c r="DG27" s="74" t="s">
        <v>151</v>
      </c>
      <c r="DH27" s="74" t="s">
        <v>151</v>
      </c>
      <c r="DI27" s="74" t="s">
        <v>151</v>
      </c>
      <c r="DJ27" s="73" t="s">
        <v>151</v>
      </c>
      <c r="DK27" s="73" t="s">
        <v>151</v>
      </c>
      <c r="DL27" s="73" t="s">
        <v>151</v>
      </c>
      <c r="DM27" s="73" t="s">
        <v>151</v>
      </c>
      <c r="DN27" s="73" t="s">
        <v>151</v>
      </c>
      <c r="DO27" s="73" t="s">
        <v>151</v>
      </c>
      <c r="DP27" s="73" t="s">
        <v>151</v>
      </c>
      <c r="DQ27" s="73" t="s">
        <v>151</v>
      </c>
      <c r="DR27" s="73" t="s">
        <v>151</v>
      </c>
      <c r="DS27" s="73" t="s">
        <v>151</v>
      </c>
      <c r="DT27" s="73" t="s">
        <v>151</v>
      </c>
      <c r="DU27" s="73" t="s">
        <v>151</v>
      </c>
      <c r="DV27" s="73">
        <f t="shared" si="47"/>
        <v>0</v>
      </c>
      <c r="DW27" s="73">
        <f t="shared" si="37"/>
        <v>0</v>
      </c>
      <c r="DX27" s="74" t="s">
        <v>151</v>
      </c>
      <c r="DY27" s="70" t="s">
        <v>151</v>
      </c>
      <c r="DZ27" s="70" t="s">
        <v>151</v>
      </c>
    </row>
    <row r="28" spans="1:130" x14ac:dyDescent="0.3">
      <c r="A28" s="88" t="s">
        <v>42</v>
      </c>
      <c r="B28" s="88" t="s">
        <v>43</v>
      </c>
      <c r="C28" s="88" t="s">
        <v>113</v>
      </c>
      <c r="D28" s="88">
        <v>2010000199</v>
      </c>
      <c r="E28" s="88" t="s">
        <v>89</v>
      </c>
      <c r="F28" s="48">
        <v>1561</v>
      </c>
      <c r="G28" s="61" t="s">
        <v>151</v>
      </c>
      <c r="H28" s="61">
        <v>80</v>
      </c>
      <c r="I28" s="62">
        <v>114.2944</v>
      </c>
      <c r="J28" s="62">
        <v>335.225616</v>
      </c>
      <c r="K28" s="62">
        <f t="shared" si="3"/>
        <v>449.520016</v>
      </c>
      <c r="L28" s="62">
        <v>116.30289999999999</v>
      </c>
      <c r="M28" s="62">
        <v>333.855389</v>
      </c>
      <c r="N28" s="62">
        <f t="shared" si="4"/>
        <v>450.15828899999997</v>
      </c>
      <c r="O28" s="62">
        <v>119.5093</v>
      </c>
      <c r="P28" s="62">
        <v>276.88969200000003</v>
      </c>
      <c r="Q28" s="62">
        <f t="shared" si="5"/>
        <v>396.39899200000002</v>
      </c>
      <c r="R28" s="62">
        <v>102.152</v>
      </c>
      <c r="S28" s="62">
        <v>175.89714699999999</v>
      </c>
      <c r="T28" s="62">
        <f t="shared" si="6"/>
        <v>278.049147</v>
      </c>
      <c r="U28" s="62">
        <v>119.98399999999999</v>
      </c>
      <c r="V28" s="62">
        <v>294.21826800000002</v>
      </c>
      <c r="W28" s="62">
        <f t="shared" si="7"/>
        <v>414.202268</v>
      </c>
      <c r="X28" s="62">
        <v>120.396</v>
      </c>
      <c r="Y28" s="62">
        <v>274.80926499999998</v>
      </c>
      <c r="Z28" s="62">
        <f t="shared" si="8"/>
        <v>395.205265</v>
      </c>
      <c r="AA28" s="63">
        <v>121.727</v>
      </c>
      <c r="AB28" s="62">
        <v>283.89999999999998</v>
      </c>
      <c r="AC28" s="62">
        <f t="shared" si="9"/>
        <v>405.62699999999995</v>
      </c>
      <c r="AD28" s="63">
        <v>122.628</v>
      </c>
      <c r="AE28" s="62">
        <v>233.97399999999999</v>
      </c>
      <c r="AF28" s="62">
        <f t="shared" si="38"/>
        <v>356.60199999999998</v>
      </c>
      <c r="AG28" s="63">
        <v>118.785</v>
      </c>
      <c r="AH28" s="62">
        <v>257.90100000000001</v>
      </c>
      <c r="AI28" s="62">
        <f t="shared" si="10"/>
        <v>376.68600000000004</v>
      </c>
      <c r="AJ28" s="64" t="s">
        <v>551</v>
      </c>
      <c r="AK28" s="65">
        <v>151479</v>
      </c>
      <c r="AL28" s="65">
        <v>148647</v>
      </c>
      <c r="AM28" s="65">
        <v>126851</v>
      </c>
      <c r="AN28" s="79">
        <v>86186</v>
      </c>
      <c r="AO28" s="79">
        <v>132417</v>
      </c>
      <c r="AP28" s="79">
        <v>124554</v>
      </c>
      <c r="AQ28" s="65">
        <v>131721</v>
      </c>
      <c r="AR28" s="65">
        <v>113776</v>
      </c>
      <c r="AS28" s="65">
        <v>121515</v>
      </c>
      <c r="AT28" s="66">
        <f t="shared" si="11"/>
        <v>336.97943274677226</v>
      </c>
      <c r="AU28" s="66">
        <f t="shared" si="12"/>
        <v>330.21051401765925</v>
      </c>
      <c r="AV28" s="66">
        <f t="shared" si="13"/>
        <v>320.00838185784283</v>
      </c>
      <c r="AW28" s="66">
        <f t="shared" si="14"/>
        <v>309.9667843972922</v>
      </c>
      <c r="AX28" s="66">
        <f t="shared" si="15"/>
        <v>319.691634329728</v>
      </c>
      <c r="AY28" s="66">
        <f t="shared" si="16"/>
        <v>315.16280533357775</v>
      </c>
      <c r="AZ28" s="66">
        <f t="shared" si="82"/>
        <v>324.73430023149348</v>
      </c>
      <c r="BA28" s="66">
        <f t="shared" si="60"/>
        <v>319.05597837364905</v>
      </c>
      <c r="BB28" s="66">
        <f t="shared" si="83"/>
        <v>322.58963699208357</v>
      </c>
      <c r="BC28" s="68">
        <f t="shared" si="17"/>
        <v>1137146</v>
      </c>
      <c r="BD28" s="68">
        <f t="shared" si="18"/>
        <v>322.04438536445537</v>
      </c>
      <c r="BE28" s="68">
        <f t="shared" si="0"/>
        <v>-14.389795754688691</v>
      </c>
      <c r="BF28" s="69">
        <f t="shared" si="19"/>
        <v>-4.2702296806054973E-2</v>
      </c>
      <c r="BG28" s="70" t="str" cm="1">
        <f t="array" ref="BG28">_xlfn.IFS(BF28&gt;0%,"Incremento",BF28=0%,"Stazionarietà",BF28&lt;0%,"Diminuzione")</f>
        <v>Diminuzione</v>
      </c>
      <c r="BH28" s="91" t="s">
        <v>161</v>
      </c>
      <c r="BI28" s="72" t="s">
        <v>182</v>
      </c>
      <c r="BJ28" s="73" t="s">
        <v>151</v>
      </c>
      <c r="BK28" s="73" t="s">
        <v>151</v>
      </c>
      <c r="BL28" s="73">
        <v>18.187999999999999</v>
      </c>
      <c r="BM28" s="74" t="s">
        <v>151</v>
      </c>
      <c r="BN28" s="74" t="s">
        <v>151</v>
      </c>
      <c r="BO28" s="74">
        <v>11.303000000000001</v>
      </c>
      <c r="BP28" s="73" t="s">
        <v>151</v>
      </c>
      <c r="BQ28" s="73" t="s">
        <v>151</v>
      </c>
      <c r="BR28" s="73">
        <v>22.677</v>
      </c>
      <c r="BS28" s="62" t="s">
        <v>151</v>
      </c>
      <c r="BT28" s="62" t="s">
        <v>151</v>
      </c>
      <c r="BU28" s="62">
        <f t="shared" si="22"/>
        <v>4.5883063194065835E-2</v>
      </c>
      <c r="BV28" s="62" t="s">
        <v>151</v>
      </c>
      <c r="BW28" s="62" t="s">
        <v>151</v>
      </c>
      <c r="BX28" s="62">
        <f t="shared" si="25"/>
        <v>2.860032747792467E-2</v>
      </c>
      <c r="BY28" s="62" t="s">
        <v>151</v>
      </c>
      <c r="BZ28" s="62" t="s">
        <v>151</v>
      </c>
      <c r="CA28" s="62">
        <f>BR28/AI28</f>
        <v>6.0201334798744836E-2</v>
      </c>
      <c r="CB28" s="62">
        <f t="shared" si="26"/>
        <v>52.167999999999999</v>
      </c>
      <c r="CC28" s="62">
        <f>(SUM(BS28:CA28))/3</f>
        <v>4.4894908490245113E-2</v>
      </c>
      <c r="CD28" s="75">
        <f>CA28-BU28</f>
        <v>1.4318271604679002E-2</v>
      </c>
      <c r="CE28" s="69">
        <f>(CA28/BU28)-1</f>
        <v>0.31206006329871228</v>
      </c>
      <c r="CF28" s="70" t="str" cm="1">
        <f t="array" ref="CF28">_xlfn.IFS(CE28&gt;0%,"Incremento",CE28=0%,"Stazionarietà",CE28&lt;0%,"Diminuzione")</f>
        <v>Incremento</v>
      </c>
      <c r="CG28" s="73" t="s">
        <v>151</v>
      </c>
      <c r="CH28" s="73" t="s">
        <v>151</v>
      </c>
      <c r="CI28" s="73">
        <v>2.3929999999999998</v>
      </c>
      <c r="CJ28" s="74" t="s">
        <v>151</v>
      </c>
      <c r="CK28" s="74" t="s">
        <v>151</v>
      </c>
      <c r="CL28" s="74">
        <v>1.2090000000000001</v>
      </c>
      <c r="CM28" s="73" t="s">
        <v>151</v>
      </c>
      <c r="CN28" s="73" t="s">
        <v>151</v>
      </c>
      <c r="CO28" s="73">
        <v>6.7590000000000003</v>
      </c>
      <c r="CP28" s="73" t="s">
        <v>151</v>
      </c>
      <c r="CQ28" s="73" t="s">
        <v>151</v>
      </c>
      <c r="CR28" s="73">
        <f t="shared" si="31"/>
        <v>6.0368468343632914E-3</v>
      </c>
      <c r="CS28" s="73" t="s">
        <v>151</v>
      </c>
      <c r="CT28" s="73" t="s">
        <v>151</v>
      </c>
      <c r="CU28" s="73">
        <f t="shared" si="34"/>
        <v>3.059169770929039E-3</v>
      </c>
      <c r="CV28" s="73" t="s">
        <v>151</v>
      </c>
      <c r="CW28" s="73" t="s">
        <v>151</v>
      </c>
      <c r="CX28" s="73">
        <f t="shared" si="62"/>
        <v>1.7943326802695083E-2</v>
      </c>
      <c r="CY28" s="73">
        <f t="shared" si="35"/>
        <v>10.361000000000001</v>
      </c>
      <c r="CZ28" s="73">
        <f>(SUM(CP28:CX28))/3</f>
        <v>9.0131144693291389E-3</v>
      </c>
      <c r="DA28" s="74">
        <f>CX28-CR28</f>
        <v>1.1906479968331791E-2</v>
      </c>
      <c r="DB28" s="69">
        <f>(CX28/CR28)-1</f>
        <v>1.9723011524090741</v>
      </c>
      <c r="DC28" s="70" t="str" cm="1">
        <f t="array" ref="DC28">_xlfn.IFS(DB28&gt;0%,"Incremento",DB28=0%,"Stazionarietà",DB28&lt;0%,"Diminuzione")</f>
        <v>Incremento</v>
      </c>
      <c r="DD28" s="73" t="s">
        <v>151</v>
      </c>
      <c r="DE28" s="73" t="s">
        <v>151</v>
      </c>
      <c r="DF28" s="73" t="s">
        <v>151</v>
      </c>
      <c r="DG28" s="74" t="s">
        <v>151</v>
      </c>
      <c r="DH28" s="74" t="s">
        <v>151</v>
      </c>
      <c r="DI28" s="74" t="s">
        <v>151</v>
      </c>
      <c r="DJ28" s="73" t="s">
        <v>151</v>
      </c>
      <c r="DK28" s="73" t="s">
        <v>151</v>
      </c>
      <c r="DL28" s="73" t="s">
        <v>151</v>
      </c>
      <c r="DM28" s="73" t="s">
        <v>151</v>
      </c>
      <c r="DN28" s="73" t="s">
        <v>151</v>
      </c>
      <c r="DO28" s="73" t="s">
        <v>151</v>
      </c>
      <c r="DP28" s="73" t="s">
        <v>151</v>
      </c>
      <c r="DQ28" s="73" t="s">
        <v>151</v>
      </c>
      <c r="DR28" s="73" t="s">
        <v>151</v>
      </c>
      <c r="DS28" s="73" t="s">
        <v>151</v>
      </c>
      <c r="DT28" s="73" t="s">
        <v>151</v>
      </c>
      <c r="DU28" s="73" t="s">
        <v>151</v>
      </c>
      <c r="DV28" s="73">
        <f t="shared" si="47"/>
        <v>0</v>
      </c>
      <c r="DW28" s="73">
        <f t="shared" si="37"/>
        <v>0</v>
      </c>
      <c r="DX28" s="74" t="s">
        <v>151</v>
      </c>
      <c r="DY28" s="70" t="s">
        <v>151</v>
      </c>
      <c r="DZ28" s="70" t="s">
        <v>151</v>
      </c>
    </row>
    <row r="29" spans="1:130" x14ac:dyDescent="0.3">
      <c r="A29" s="88" t="s">
        <v>44</v>
      </c>
      <c r="B29" s="88" t="s">
        <v>45</v>
      </c>
      <c r="C29" s="88" t="s">
        <v>114</v>
      </c>
      <c r="D29" s="94">
        <v>2007000613</v>
      </c>
      <c r="E29" s="88" t="s">
        <v>89</v>
      </c>
      <c r="F29" s="48">
        <v>1472</v>
      </c>
      <c r="G29" s="61">
        <v>0</v>
      </c>
      <c r="H29" s="61">
        <v>400</v>
      </c>
      <c r="I29" s="62">
        <v>0</v>
      </c>
      <c r="J29" s="62">
        <v>1514.1120000000001</v>
      </c>
      <c r="K29" s="62">
        <f t="shared" si="3"/>
        <v>1514.1120000000001</v>
      </c>
      <c r="L29" s="62">
        <v>0</v>
      </c>
      <c r="M29" s="62">
        <v>1093.472</v>
      </c>
      <c r="N29" s="62">
        <f t="shared" si="4"/>
        <v>1093.472</v>
      </c>
      <c r="O29" s="62">
        <v>0</v>
      </c>
      <c r="P29" s="62">
        <v>577.67700000000002</v>
      </c>
      <c r="Q29" s="62">
        <f t="shared" si="5"/>
        <v>577.67700000000002</v>
      </c>
      <c r="R29" s="62">
        <v>0</v>
      </c>
      <c r="S29" s="62">
        <v>601.05200000000002</v>
      </c>
      <c r="T29" s="62">
        <f t="shared" si="6"/>
        <v>601.05200000000002</v>
      </c>
      <c r="U29" s="62">
        <v>0</v>
      </c>
      <c r="V29" s="62">
        <v>794.52800000000002</v>
      </c>
      <c r="W29" s="62">
        <f t="shared" si="7"/>
        <v>794.52800000000002</v>
      </c>
      <c r="X29" s="62">
        <v>0</v>
      </c>
      <c r="Y29" s="62">
        <v>1564.64</v>
      </c>
      <c r="Z29" s="62">
        <f t="shared" si="8"/>
        <v>1564.64</v>
      </c>
      <c r="AA29" s="63">
        <v>0</v>
      </c>
      <c r="AB29" s="62">
        <v>1520.672</v>
      </c>
      <c r="AC29" s="62">
        <f t="shared" si="9"/>
        <v>1520.672</v>
      </c>
      <c r="AD29" s="63">
        <v>0</v>
      </c>
      <c r="AE29" s="62">
        <v>860.19200000000001</v>
      </c>
      <c r="AF29" s="62">
        <f t="shared" si="38"/>
        <v>860.19200000000001</v>
      </c>
      <c r="AG29" s="63">
        <v>0</v>
      </c>
      <c r="AH29" s="62">
        <v>1283.4880000000001</v>
      </c>
      <c r="AI29" s="62">
        <f t="shared" si="10"/>
        <v>1283.4880000000001</v>
      </c>
      <c r="AJ29" s="64" t="s">
        <v>554</v>
      </c>
      <c r="AK29" s="65">
        <v>592750</v>
      </c>
      <c r="AL29" s="65">
        <v>428869</v>
      </c>
      <c r="AM29" s="65">
        <v>240306</v>
      </c>
      <c r="AN29" s="79">
        <v>255474</v>
      </c>
      <c r="AO29" s="79">
        <v>318096</v>
      </c>
      <c r="AP29" s="79">
        <v>630257</v>
      </c>
      <c r="AQ29" s="65">
        <v>605967</v>
      </c>
      <c r="AR29" s="65">
        <v>349841</v>
      </c>
      <c r="AS29" s="65">
        <v>519159</v>
      </c>
      <c r="AT29" s="66">
        <f t="shared" si="11"/>
        <v>391.48358906078278</v>
      </c>
      <c r="AU29" s="66">
        <f t="shared" si="12"/>
        <v>392.20848819174154</v>
      </c>
      <c r="AV29" s="66">
        <f t="shared" si="13"/>
        <v>415.98678846483415</v>
      </c>
      <c r="AW29" s="66">
        <f t="shared" si="14"/>
        <v>425.04475486313993</v>
      </c>
      <c r="AX29" s="66">
        <f t="shared" si="15"/>
        <v>400.35845181038303</v>
      </c>
      <c r="AY29" s="66">
        <f t="shared" si="16"/>
        <v>402.81278760609467</v>
      </c>
      <c r="AZ29" s="66">
        <f t="shared" si="82"/>
        <v>398.48632709749376</v>
      </c>
      <c r="BA29" s="66">
        <f t="shared" si="60"/>
        <v>406.70106208846397</v>
      </c>
      <c r="BB29" s="66">
        <f t="shared" si="83"/>
        <v>404.49073150664435</v>
      </c>
      <c r="BC29" s="68">
        <f t="shared" si="17"/>
        <v>3940719</v>
      </c>
      <c r="BD29" s="68">
        <f t="shared" si="18"/>
        <v>404.1747756321754</v>
      </c>
      <c r="BE29" s="68">
        <f t="shared" si="0"/>
        <v>13.007142445861575</v>
      </c>
      <c r="BF29" s="69">
        <f t="shared" si="19"/>
        <v>3.3225255947681775E-2</v>
      </c>
      <c r="BG29" s="70" t="str" cm="1">
        <f t="array" ref="BG29">_xlfn.IFS(BF29&gt;0%,"Incremento",BF29=0%,"Stazionarietà",BF29&lt;0%,"Diminuzione")</f>
        <v>Incremento</v>
      </c>
      <c r="BH29" s="91" t="s">
        <v>162</v>
      </c>
      <c r="BI29" s="72" t="s">
        <v>180</v>
      </c>
      <c r="BJ29" s="73">
        <v>122</v>
      </c>
      <c r="BK29" s="73">
        <v>130</v>
      </c>
      <c r="BL29" s="73">
        <v>100</v>
      </c>
      <c r="BM29" s="74">
        <v>89</v>
      </c>
      <c r="BN29" s="74">
        <v>76.5</v>
      </c>
      <c r="BO29" s="74">
        <v>198</v>
      </c>
      <c r="BP29" s="73">
        <v>171.3</v>
      </c>
      <c r="BQ29" s="73">
        <v>123</v>
      </c>
      <c r="BR29" s="73">
        <v>191</v>
      </c>
      <c r="BS29" s="62">
        <f t="shared" si="20"/>
        <v>8.057528108884944E-2</v>
      </c>
      <c r="BT29" s="62">
        <f t="shared" si="21"/>
        <v>0.11888736062743262</v>
      </c>
      <c r="BU29" s="62">
        <f t="shared" si="22"/>
        <v>0.17310711695289926</v>
      </c>
      <c r="BV29" s="62">
        <f t="shared" si="23"/>
        <v>0.14807371076046663</v>
      </c>
      <c r="BW29" s="62">
        <f t="shared" si="24"/>
        <v>9.6283579685045709E-2</v>
      </c>
      <c r="BX29" s="62">
        <f t="shared" si="25"/>
        <v>0.12654668166479188</v>
      </c>
      <c r="BY29" s="62">
        <f t="shared" ref="BY29:BY52" si="84">BP29/AC29</f>
        <v>0.1126475663390922</v>
      </c>
      <c r="BZ29" s="62">
        <f t="shared" ref="BZ29:BZ52" si="85">BQ29/AF29</f>
        <v>0.1429913321677021</v>
      </c>
      <c r="CA29" s="62">
        <f t="shared" ref="CA29" si="86">BR29/AI29</f>
        <v>0.14881323393752025</v>
      </c>
      <c r="CB29" s="62">
        <f t="shared" si="26"/>
        <v>1200.8</v>
      </c>
      <c r="CC29" s="62">
        <f t="shared" ref="CC29:CC39" si="87">(SUM(BS29:CA29))/9</f>
        <v>0.12754731813597778</v>
      </c>
      <c r="CD29" s="75">
        <f t="shared" si="27"/>
        <v>6.8237952848670805E-2</v>
      </c>
      <c r="CE29" s="69">
        <f>(CA29/BS29)-1</f>
        <v>0.84688445298038229</v>
      </c>
      <c r="CF29" s="70" t="str" cm="1">
        <f t="array" ref="CF29">_xlfn.IFS(CE29&gt;0%,"Incremento",CE29=0%,"Stazionarietà",CE29&lt;0%,"Diminuzione")</f>
        <v>Incremento</v>
      </c>
      <c r="CG29" s="73" t="s">
        <v>151</v>
      </c>
      <c r="CH29" s="73">
        <v>9</v>
      </c>
      <c r="CI29" s="73">
        <v>74</v>
      </c>
      <c r="CJ29" s="74">
        <v>141.12</v>
      </c>
      <c r="CK29" s="74">
        <v>129</v>
      </c>
      <c r="CL29" s="74">
        <v>20.2</v>
      </c>
      <c r="CM29" s="73">
        <v>9.3000000000000007</v>
      </c>
      <c r="CN29" s="73">
        <v>9.5</v>
      </c>
      <c r="CO29" s="73">
        <v>9.5</v>
      </c>
      <c r="CP29" s="73" t="s">
        <v>151</v>
      </c>
      <c r="CQ29" s="73">
        <f t="shared" si="30"/>
        <v>8.230663428053028E-3</v>
      </c>
      <c r="CR29" s="73">
        <f t="shared" si="31"/>
        <v>0.12809926654514547</v>
      </c>
      <c r="CS29" s="73">
        <f t="shared" si="32"/>
        <v>0.23478833778109048</v>
      </c>
      <c r="CT29" s="73">
        <f t="shared" si="33"/>
        <v>0.16236054613556727</v>
      </c>
      <c r="CU29" s="73">
        <f t="shared" si="34"/>
        <v>1.2910318028428264E-2</v>
      </c>
      <c r="CV29" s="73">
        <f>CM29/AC29</f>
        <v>6.1157172618421336E-3</v>
      </c>
      <c r="CW29" s="73">
        <f t="shared" ref="CW29:CW51" si="88">CN29/AF29</f>
        <v>1.1044045980432276E-2</v>
      </c>
      <c r="CX29" s="73">
        <f t="shared" si="62"/>
        <v>7.4017053529133112E-3</v>
      </c>
      <c r="CY29" s="73">
        <f t="shared" si="35"/>
        <v>401.62</v>
      </c>
      <c r="CZ29" s="73">
        <f>(SUM(CP29:CX29))/8</f>
        <v>7.136882506418403E-2</v>
      </c>
      <c r="DA29" s="74">
        <f>CX29-CQ29</f>
        <v>-8.289580751397168E-4</v>
      </c>
      <c r="DB29" s="69">
        <f>(CX29/CQ29)-1</f>
        <v>-0.10071582714879734</v>
      </c>
      <c r="DC29" s="70" t="str" cm="1">
        <f t="array" ref="DC29">_xlfn.IFS(DB29&gt;0%,"Incremento",DB29=0%,"Stazionarietà",DB29&lt;0%,"Diminuzione")</f>
        <v>Diminuzione</v>
      </c>
      <c r="DD29" s="73" t="s">
        <v>151</v>
      </c>
      <c r="DE29" s="73" t="s">
        <v>151</v>
      </c>
      <c r="DF29" s="73" t="s">
        <v>151</v>
      </c>
      <c r="DG29" s="74" t="s">
        <v>151</v>
      </c>
      <c r="DH29" s="74" t="s">
        <v>151</v>
      </c>
      <c r="DI29" s="74" t="s">
        <v>151</v>
      </c>
      <c r="DJ29" s="73" t="s">
        <v>151</v>
      </c>
      <c r="DK29" s="73" t="s">
        <v>151</v>
      </c>
      <c r="DL29" s="73" t="s">
        <v>151</v>
      </c>
      <c r="DM29" s="73" t="s">
        <v>151</v>
      </c>
      <c r="DN29" s="73" t="s">
        <v>151</v>
      </c>
      <c r="DO29" s="73" t="s">
        <v>151</v>
      </c>
      <c r="DP29" s="73" t="s">
        <v>151</v>
      </c>
      <c r="DQ29" s="73" t="s">
        <v>151</v>
      </c>
      <c r="DR29" s="73" t="s">
        <v>151</v>
      </c>
      <c r="DS29" s="73" t="s">
        <v>151</v>
      </c>
      <c r="DT29" s="73" t="s">
        <v>151</v>
      </c>
      <c r="DU29" s="73" t="s">
        <v>151</v>
      </c>
      <c r="DV29" s="73">
        <f t="shared" si="47"/>
        <v>0</v>
      </c>
      <c r="DW29" s="73">
        <f t="shared" si="37"/>
        <v>0</v>
      </c>
      <c r="DX29" s="74" t="s">
        <v>151</v>
      </c>
      <c r="DY29" s="70" t="s">
        <v>151</v>
      </c>
      <c r="DZ29" s="70" t="s">
        <v>151</v>
      </c>
    </row>
    <row r="30" spans="1:130" x14ac:dyDescent="0.3">
      <c r="A30" s="88" t="s">
        <v>46</v>
      </c>
      <c r="B30" s="88" t="s">
        <v>47</v>
      </c>
      <c r="C30" s="88" t="s">
        <v>115</v>
      </c>
      <c r="D30" s="88">
        <v>2007001405</v>
      </c>
      <c r="E30" s="88" t="s">
        <v>89</v>
      </c>
      <c r="F30" s="48">
        <v>652</v>
      </c>
      <c r="G30" s="61" t="s">
        <v>151</v>
      </c>
      <c r="H30" s="61" t="s">
        <v>151</v>
      </c>
      <c r="I30" s="62">
        <v>0</v>
      </c>
      <c r="J30" s="62">
        <v>1039.915</v>
      </c>
      <c r="K30" s="62">
        <f t="shared" si="3"/>
        <v>1039.915</v>
      </c>
      <c r="L30" s="62">
        <v>0</v>
      </c>
      <c r="M30" s="62">
        <v>281.83999999999997</v>
      </c>
      <c r="N30" s="62">
        <f t="shared" si="4"/>
        <v>281.83999999999997</v>
      </c>
      <c r="O30" s="62">
        <v>0</v>
      </c>
      <c r="P30" s="62">
        <v>134.90299999999999</v>
      </c>
      <c r="Q30" s="62">
        <f t="shared" si="5"/>
        <v>134.90299999999999</v>
      </c>
      <c r="R30" s="62">
        <v>0</v>
      </c>
      <c r="S30" s="62">
        <v>79.156999999999996</v>
      </c>
      <c r="T30" s="62">
        <f t="shared" si="6"/>
        <v>79.156999999999996</v>
      </c>
      <c r="U30" s="62">
        <v>0</v>
      </c>
      <c r="V30" s="62">
        <v>8.9049999999999994</v>
      </c>
      <c r="W30" s="62">
        <f t="shared" si="7"/>
        <v>8.9049999999999994</v>
      </c>
      <c r="X30" s="62">
        <v>0</v>
      </c>
      <c r="Y30" s="62">
        <v>46.421999999999997</v>
      </c>
      <c r="Z30" s="62">
        <f t="shared" si="8"/>
        <v>46.421999999999997</v>
      </c>
      <c r="AA30" s="63">
        <v>0</v>
      </c>
      <c r="AB30" s="62">
        <v>77.316000000000003</v>
      </c>
      <c r="AC30" s="62">
        <f t="shared" si="9"/>
        <v>77.316000000000003</v>
      </c>
      <c r="AD30" s="63">
        <v>0</v>
      </c>
      <c r="AE30" s="62">
        <v>421.15</v>
      </c>
      <c r="AF30" s="62">
        <f t="shared" si="38"/>
        <v>421.15</v>
      </c>
      <c r="AG30" s="63">
        <v>0</v>
      </c>
      <c r="AH30" s="62">
        <v>1317.5219999999999</v>
      </c>
      <c r="AI30" s="62">
        <f t="shared" si="10"/>
        <v>1317.5219999999999</v>
      </c>
      <c r="AJ30" s="64" t="s">
        <v>547</v>
      </c>
      <c r="AK30" s="65">
        <v>416836</v>
      </c>
      <c r="AL30" s="65">
        <v>119286</v>
      </c>
      <c r="AM30" s="65">
        <v>63331</v>
      </c>
      <c r="AN30" s="79">
        <v>40067</v>
      </c>
      <c r="AO30" s="79">
        <v>9999</v>
      </c>
      <c r="AP30" s="79">
        <v>24658</v>
      </c>
      <c r="AQ30" s="65">
        <v>37282</v>
      </c>
      <c r="AR30" s="65">
        <v>172547</v>
      </c>
      <c r="AS30" s="65">
        <v>527251</v>
      </c>
      <c r="AT30" s="66">
        <f t="shared" si="11"/>
        <v>400.83660683805891</v>
      </c>
      <c r="AU30" s="66">
        <f t="shared" si="12"/>
        <v>423.24013624751638</v>
      </c>
      <c r="AV30" s="66">
        <f t="shared" si="13"/>
        <v>469.45583122688157</v>
      </c>
      <c r="AW30" s="66">
        <f t="shared" si="14"/>
        <v>506.171279861541</v>
      </c>
      <c r="AX30" s="66">
        <f>AO30/W30</f>
        <v>1122.8523301516002</v>
      </c>
      <c r="AY30" s="66">
        <f t="shared" si="16"/>
        <v>531.17056568006547</v>
      </c>
      <c r="AZ30" s="66">
        <f t="shared" si="82"/>
        <v>482.20290754824356</v>
      </c>
      <c r="BA30" s="66">
        <f t="shared" si="60"/>
        <v>409.7043808619257</v>
      </c>
      <c r="BB30" s="66">
        <f>AS30/AI30</f>
        <v>400.18382994743166</v>
      </c>
      <c r="BC30" s="68">
        <f t="shared" si="17"/>
        <v>1411257</v>
      </c>
      <c r="BD30" s="68">
        <f t="shared" si="18"/>
        <v>527.31309648480726</v>
      </c>
      <c r="BE30" s="68">
        <f t="shared" si="0"/>
        <v>-0.6527768906272513</v>
      </c>
      <c r="BF30" s="69">
        <f t="shared" si="19"/>
        <v>-1.6285361154426692E-3</v>
      </c>
      <c r="BG30" s="70" t="str" cm="1">
        <f t="array" ref="BG30">_xlfn.IFS(BF30&gt;0%,"Incremento",BF30=0%,"Stazionarietà",BF30&lt;0%,"Diminuzione")</f>
        <v>Diminuzione</v>
      </c>
      <c r="BH30" s="85" t="s">
        <v>556</v>
      </c>
      <c r="BI30" s="72" t="s">
        <v>180</v>
      </c>
      <c r="BJ30" s="73">
        <v>155.09</v>
      </c>
      <c r="BK30" s="73">
        <v>49.63</v>
      </c>
      <c r="BL30" s="73">
        <v>14</v>
      </c>
      <c r="BM30" s="74">
        <v>9.82</v>
      </c>
      <c r="BN30" s="74">
        <v>1.65</v>
      </c>
      <c r="BO30" s="74">
        <v>5.89</v>
      </c>
      <c r="BP30" s="73">
        <v>11</v>
      </c>
      <c r="BQ30" s="73">
        <v>56.4</v>
      </c>
      <c r="BR30" s="73">
        <v>169.9</v>
      </c>
      <c r="BS30" s="62">
        <f t="shared" si="20"/>
        <v>0.14913718909718585</v>
      </c>
      <c r="BT30" s="62">
        <f t="shared" si="21"/>
        <v>0.17609281862049392</v>
      </c>
      <c r="BU30" s="62">
        <f t="shared" si="22"/>
        <v>0.10377827031274324</v>
      </c>
      <c r="BV30" s="62">
        <f t="shared" si="23"/>
        <v>0.12405725330671957</v>
      </c>
      <c r="BW30" s="62">
        <f t="shared" si="24"/>
        <v>0.18528916339135318</v>
      </c>
      <c r="BX30" s="62">
        <f t="shared" si="25"/>
        <v>0.12687949679031493</v>
      </c>
      <c r="BY30" s="62">
        <f t="shared" si="84"/>
        <v>0.14227326814630864</v>
      </c>
      <c r="BZ30" s="62">
        <f t="shared" si="85"/>
        <v>0.13391903122402946</v>
      </c>
      <c r="CA30" s="62">
        <f>BR30/AI30</f>
        <v>0.12895420342127115</v>
      </c>
      <c r="CB30" s="62">
        <f t="shared" si="26"/>
        <v>473.38</v>
      </c>
      <c r="CC30" s="62">
        <f t="shared" si="87"/>
        <v>0.14115341047893554</v>
      </c>
      <c r="CD30" s="75">
        <f t="shared" si="27"/>
        <v>-2.01829856759147E-2</v>
      </c>
      <c r="CE30" s="69">
        <f t="shared" ref="CE30:CE39" si="89">(CA30/BS30)-1</f>
        <v>-0.13533167547339497</v>
      </c>
      <c r="CF30" s="70" t="str" cm="1">
        <f t="array" ref="CF30">_xlfn.IFS(CE30&gt;0%,"Incremento",CE30=0%,"Stazionarietà",CE30&lt;0%,"Diminuzione")</f>
        <v>Diminuzione</v>
      </c>
      <c r="CG30" s="73">
        <v>13.9</v>
      </c>
      <c r="CH30" s="73">
        <v>3.3</v>
      </c>
      <c r="CI30" s="73">
        <v>1.6</v>
      </c>
      <c r="CJ30" s="74">
        <v>2.9</v>
      </c>
      <c r="CK30" s="74">
        <v>0.7</v>
      </c>
      <c r="CL30" s="74">
        <v>2.0339999999999998</v>
      </c>
      <c r="CM30" s="73">
        <v>2.4660000000000002</v>
      </c>
      <c r="CN30" s="73">
        <v>6.202</v>
      </c>
      <c r="CO30" s="73">
        <v>13.342000000000001</v>
      </c>
      <c r="CP30" s="73">
        <f t="shared" si="29"/>
        <v>1.3366477067837276E-2</v>
      </c>
      <c r="CQ30" s="73">
        <f t="shared" si="30"/>
        <v>1.1708770933863185E-2</v>
      </c>
      <c r="CR30" s="73">
        <f t="shared" si="31"/>
        <v>1.1860373750027799E-2</v>
      </c>
      <c r="CS30" s="73">
        <f t="shared" si="32"/>
        <v>3.6636052402188056E-2</v>
      </c>
      <c r="CT30" s="73">
        <f t="shared" si="33"/>
        <v>7.860752386299831E-2</v>
      </c>
      <c r="CU30" s="73">
        <f t="shared" si="34"/>
        <v>4.3815432338115544E-2</v>
      </c>
      <c r="CV30" s="73">
        <f t="shared" ref="CV30:CV48" si="90">CM30/AC30</f>
        <v>3.1895079931708835E-2</v>
      </c>
      <c r="CW30" s="73">
        <f t="shared" si="88"/>
        <v>1.4726344532826785E-2</v>
      </c>
      <c r="CX30" s="73">
        <f t="shared" si="62"/>
        <v>1.012658612152207E-2</v>
      </c>
      <c r="CY30" s="73">
        <f t="shared" si="35"/>
        <v>46.443999999999996</v>
      </c>
      <c r="CZ30" s="73">
        <f>(SUM(CP30:CX30))/9</f>
        <v>2.8082515660120877E-2</v>
      </c>
      <c r="DA30" s="74">
        <f t="shared" si="36"/>
        <v>-3.2398909463152055E-3</v>
      </c>
      <c r="DB30" s="69">
        <f>(CX30/CP30)-1</f>
        <v>-0.24238929449189761</v>
      </c>
      <c r="DC30" s="70" t="str" cm="1">
        <f t="array" ref="DC30">_xlfn.IFS(DB30&gt;0%,"Incremento",DB30=0%,"Stazionarietà",DB30&lt;0%,"Diminuzione")</f>
        <v>Diminuzione</v>
      </c>
      <c r="DD30" s="73">
        <v>1.36</v>
      </c>
      <c r="DE30" s="73">
        <v>0.87</v>
      </c>
      <c r="DF30" s="73">
        <v>0</v>
      </c>
      <c r="DG30" s="74">
        <v>0</v>
      </c>
      <c r="DH30" s="74">
        <v>0</v>
      </c>
      <c r="DI30" s="74">
        <v>0</v>
      </c>
      <c r="DJ30" s="73">
        <v>0</v>
      </c>
      <c r="DK30" s="73">
        <v>0</v>
      </c>
      <c r="DL30" s="73">
        <v>0</v>
      </c>
      <c r="DM30" s="73">
        <f t="shared" si="49"/>
        <v>1.3077991951265249E-3</v>
      </c>
      <c r="DN30" s="73">
        <f t="shared" si="50"/>
        <v>3.0868577916548399E-3</v>
      </c>
      <c r="DO30" s="73">
        <f t="shared" si="51"/>
        <v>0</v>
      </c>
      <c r="DP30" s="73">
        <f t="shared" si="52"/>
        <v>0</v>
      </c>
      <c r="DQ30" s="73">
        <f t="shared" si="53"/>
        <v>0</v>
      </c>
      <c r="DR30" s="73">
        <f t="shared" si="54"/>
        <v>0</v>
      </c>
      <c r="DS30" s="73">
        <f t="shared" ref="DS30" si="91">DJ30/AC30</f>
        <v>0</v>
      </c>
      <c r="DT30" s="73">
        <f t="shared" ref="DT30" si="92">DK30/AF30</f>
        <v>0</v>
      </c>
      <c r="DU30" s="73">
        <f t="shared" ref="DU30" si="93">DL30/AI30</f>
        <v>0</v>
      </c>
      <c r="DV30" s="73">
        <f t="shared" si="47"/>
        <v>2.23</v>
      </c>
      <c r="DW30" s="73">
        <f>(SUM(DM30:DU30))/2</f>
        <v>2.1973284933906826E-3</v>
      </c>
      <c r="DX30" s="80">
        <f t="shared" si="48"/>
        <v>-1.3077991951265249E-3</v>
      </c>
      <c r="DY30" s="70">
        <f>(DU30/DM30)-1</f>
        <v>-1</v>
      </c>
      <c r="DZ30" s="70" t="str" cm="1">
        <f t="array" ref="DZ30">_xlfn.IFS(DY30&gt;0%,"Incremento",DY30=0%,"Stazionarietà",DY30&lt;0%,"Diminuzione")</f>
        <v>Diminuzione</v>
      </c>
    </row>
    <row r="31" spans="1:130" x14ac:dyDescent="0.3">
      <c r="A31" s="88" t="s">
        <v>10</v>
      </c>
      <c r="B31" s="88" t="s">
        <v>48</v>
      </c>
      <c r="C31" s="88" t="s">
        <v>116</v>
      </c>
      <c r="D31" s="88">
        <v>2008000443</v>
      </c>
      <c r="E31" s="88" t="s">
        <v>88</v>
      </c>
      <c r="F31" s="48">
        <v>1513</v>
      </c>
      <c r="G31" s="61">
        <v>224</v>
      </c>
      <c r="H31" s="61" t="s">
        <v>151</v>
      </c>
      <c r="I31" s="62">
        <v>57.048999999999999</v>
      </c>
      <c r="J31" s="62">
        <v>41.802</v>
      </c>
      <c r="K31" s="62">
        <f t="shared" si="3"/>
        <v>98.850999999999999</v>
      </c>
      <c r="L31" s="62">
        <v>79.83</v>
      </c>
      <c r="M31" s="62">
        <v>52.8</v>
      </c>
      <c r="N31" s="62">
        <f t="shared" si="4"/>
        <v>132.63</v>
      </c>
      <c r="O31" s="62">
        <v>111.533</v>
      </c>
      <c r="P31" s="62">
        <v>54.975999999999999</v>
      </c>
      <c r="Q31" s="62">
        <f t="shared" si="5"/>
        <v>166.50900000000001</v>
      </c>
      <c r="R31" s="62">
        <v>101.68</v>
      </c>
      <c r="S31" s="62">
        <v>42.15</v>
      </c>
      <c r="T31" s="62">
        <f t="shared" si="6"/>
        <v>143.83000000000001</v>
      </c>
      <c r="U31" s="62">
        <v>104.792</v>
      </c>
      <c r="V31" s="62">
        <v>51.85</v>
      </c>
      <c r="W31" s="62">
        <f t="shared" si="7"/>
        <v>156.642</v>
      </c>
      <c r="X31" s="62">
        <v>112.47</v>
      </c>
      <c r="Y31" s="62">
        <v>43.078000000000003</v>
      </c>
      <c r="Z31" s="62">
        <f t="shared" si="8"/>
        <v>155.548</v>
      </c>
      <c r="AA31" s="63">
        <v>124.054</v>
      </c>
      <c r="AB31" s="62">
        <v>47.493000000000002</v>
      </c>
      <c r="AC31" s="62">
        <f t="shared" si="9"/>
        <v>171.547</v>
      </c>
      <c r="AD31" s="63">
        <v>138.608</v>
      </c>
      <c r="AE31" s="62">
        <v>40.741</v>
      </c>
      <c r="AF31" s="62">
        <f t="shared" si="38"/>
        <v>179.34899999999999</v>
      </c>
      <c r="AG31" s="63">
        <v>134.44300000000001</v>
      </c>
      <c r="AH31" s="62">
        <v>49.704999999999998</v>
      </c>
      <c r="AI31" s="62">
        <f t="shared" si="10"/>
        <v>184.14800000000002</v>
      </c>
      <c r="AJ31" s="64" t="s">
        <v>557</v>
      </c>
      <c r="AK31" s="65">
        <v>24394</v>
      </c>
      <c r="AL31" s="65">
        <v>33649</v>
      </c>
      <c r="AM31" s="65">
        <v>36628</v>
      </c>
      <c r="AN31" s="79">
        <v>36901</v>
      </c>
      <c r="AO31" s="79">
        <v>40012</v>
      </c>
      <c r="AP31" s="79">
        <v>37052</v>
      </c>
      <c r="AQ31" s="65">
        <v>39723</v>
      </c>
      <c r="AR31" s="65">
        <v>40629</v>
      </c>
      <c r="AS31" s="65">
        <v>42730</v>
      </c>
      <c r="AT31" s="66">
        <f t="shared" si="11"/>
        <v>246.77544991957592</v>
      </c>
      <c r="AU31" s="66">
        <f t="shared" si="12"/>
        <v>253.70579808489785</v>
      </c>
      <c r="AV31" s="66">
        <f t="shared" si="13"/>
        <v>219.97609738812915</v>
      </c>
      <c r="AW31" s="66">
        <f t="shared" si="14"/>
        <v>256.55982757421953</v>
      </c>
      <c r="AX31" s="66">
        <f t="shared" si="15"/>
        <v>255.43596225788741</v>
      </c>
      <c r="AY31" s="66">
        <f t="shared" si="16"/>
        <v>238.20299843135237</v>
      </c>
      <c r="AZ31" s="66">
        <f t="shared" si="82"/>
        <v>231.55753233807644</v>
      </c>
      <c r="BA31" s="66">
        <f t="shared" si="60"/>
        <v>226.53597176454846</v>
      </c>
      <c r="BB31" s="66">
        <f t="shared" ref="BB31:BB39" si="94">AS31/AI31</f>
        <v>232.04161869800376</v>
      </c>
      <c r="BC31" s="68">
        <f t="shared" si="17"/>
        <v>331718</v>
      </c>
      <c r="BD31" s="68">
        <f t="shared" si="18"/>
        <v>240.08791738407677</v>
      </c>
      <c r="BE31" s="68">
        <f t="shared" si="0"/>
        <v>-14.73383122157216</v>
      </c>
      <c r="BF31" s="69">
        <f t="shared" si="19"/>
        <v>-5.970541731916168E-2</v>
      </c>
      <c r="BG31" s="70" t="str" cm="1">
        <f t="array" ref="BG31">_xlfn.IFS(BF31&gt;0%,"Incremento",BF31=0%,"Stazionarietà",BF31&lt;0%,"Diminuzione")</f>
        <v>Diminuzione</v>
      </c>
      <c r="BH31" s="91" t="s">
        <v>558</v>
      </c>
      <c r="BI31" s="72" t="s">
        <v>182</v>
      </c>
      <c r="BJ31" s="73">
        <v>7.22</v>
      </c>
      <c r="BK31" s="73">
        <v>9.65</v>
      </c>
      <c r="BL31" s="73">
        <v>12.5</v>
      </c>
      <c r="BM31" s="74">
        <v>10.35</v>
      </c>
      <c r="BN31" s="74">
        <v>11.75</v>
      </c>
      <c r="BO31" s="74">
        <v>12.2</v>
      </c>
      <c r="BP31" s="73">
        <v>12</v>
      </c>
      <c r="BQ31" s="73">
        <v>12.6</v>
      </c>
      <c r="BR31" s="73">
        <v>11.4</v>
      </c>
      <c r="BS31" s="62">
        <f t="shared" si="20"/>
        <v>7.3039220645213496E-2</v>
      </c>
      <c r="BT31" s="62">
        <f t="shared" si="21"/>
        <v>7.2758802684158949E-2</v>
      </c>
      <c r="BU31" s="62">
        <f t="shared" si="22"/>
        <v>7.507101718225441E-2</v>
      </c>
      <c r="BV31" s="62">
        <f t="shared" si="23"/>
        <v>7.1959952721963427E-2</v>
      </c>
      <c r="BW31" s="62">
        <f t="shared" si="24"/>
        <v>7.5011810370143386E-2</v>
      </c>
      <c r="BX31" s="62">
        <f t="shared" si="25"/>
        <v>7.8432381001362919E-2</v>
      </c>
      <c r="BY31" s="62">
        <f t="shared" si="84"/>
        <v>6.9951675051152157E-2</v>
      </c>
      <c r="BZ31" s="62">
        <f t="shared" si="85"/>
        <v>7.0254085609621472E-2</v>
      </c>
      <c r="CA31" s="62">
        <f t="shared" ref="CA31:CA38" si="95">BR31/AI31</f>
        <v>6.1906727197688811E-2</v>
      </c>
      <c r="CB31" s="62">
        <f t="shared" si="26"/>
        <v>99.67</v>
      </c>
      <c r="CC31" s="62">
        <f t="shared" si="87"/>
        <v>7.2042852495951007E-2</v>
      </c>
      <c r="CD31" s="75">
        <f t="shared" si="27"/>
        <v>-1.1132493447524684E-2</v>
      </c>
      <c r="CE31" s="69">
        <f t="shared" si="89"/>
        <v>-0.15241802074532729</v>
      </c>
      <c r="CF31" s="70" t="str" cm="1">
        <f t="array" ref="CF31">_xlfn.IFS(CE31&gt;0%,"Incremento",CE31=0%,"Stazionarietà",CE31&lt;0%,"Diminuzione")</f>
        <v>Diminuzione</v>
      </c>
      <c r="CG31" s="73">
        <v>2.79</v>
      </c>
      <c r="CH31" s="73">
        <v>3.94</v>
      </c>
      <c r="CI31" s="73">
        <v>5.23</v>
      </c>
      <c r="CJ31" s="74">
        <v>5.21</v>
      </c>
      <c r="CK31" s="74">
        <v>8.98</v>
      </c>
      <c r="CL31" s="74">
        <v>9.14</v>
      </c>
      <c r="CM31" s="73">
        <v>8.5</v>
      </c>
      <c r="CN31" s="73">
        <v>7.6</v>
      </c>
      <c r="CO31" s="73">
        <v>8</v>
      </c>
      <c r="CP31" s="73">
        <f t="shared" si="29"/>
        <v>2.8224297174535413E-2</v>
      </c>
      <c r="CQ31" s="73">
        <f t="shared" si="30"/>
        <v>2.9706702857573701E-2</v>
      </c>
      <c r="CR31" s="73">
        <f t="shared" si="31"/>
        <v>3.1409713589055248E-2</v>
      </c>
      <c r="CS31" s="73">
        <f t="shared" si="32"/>
        <v>3.6223319196273376E-2</v>
      </c>
      <c r="CT31" s="73">
        <f t="shared" si="33"/>
        <v>5.7328175074373419E-2</v>
      </c>
      <c r="CU31" s="73">
        <f t="shared" si="34"/>
        <v>5.8759996914135831E-2</v>
      </c>
      <c r="CV31" s="73">
        <f t="shared" si="90"/>
        <v>4.9549103161232781E-2</v>
      </c>
      <c r="CW31" s="73">
        <f t="shared" si="88"/>
        <v>4.2375480208978029E-2</v>
      </c>
      <c r="CX31" s="73">
        <f t="shared" si="62"/>
        <v>4.3443317331711445E-2</v>
      </c>
      <c r="CY31" s="73">
        <f t="shared" si="35"/>
        <v>59.390000000000008</v>
      </c>
      <c r="CZ31" s="73">
        <f>(SUM(CP31:CX31))/9</f>
        <v>4.1891122834207692E-2</v>
      </c>
      <c r="DA31" s="74">
        <f t="shared" si="36"/>
        <v>1.5219020157176032E-2</v>
      </c>
      <c r="DB31" s="69">
        <f>(CX31/CP31)-1</f>
        <v>0.5392169754684617</v>
      </c>
      <c r="DC31" s="70" t="str" cm="1">
        <f t="array" ref="DC31">_xlfn.IFS(DB31&gt;0%,"Incremento",DB31=0%,"Stazionarietà",DB31&lt;0%,"Diminuzione")</f>
        <v>Incremento</v>
      </c>
      <c r="DD31" s="73" t="s">
        <v>151</v>
      </c>
      <c r="DE31" s="73" t="s">
        <v>151</v>
      </c>
      <c r="DF31" s="73" t="s">
        <v>151</v>
      </c>
      <c r="DG31" s="74" t="s">
        <v>151</v>
      </c>
      <c r="DH31" s="74" t="s">
        <v>151</v>
      </c>
      <c r="DI31" s="74" t="s">
        <v>151</v>
      </c>
      <c r="DJ31" s="73" t="s">
        <v>151</v>
      </c>
      <c r="DK31" s="73" t="s">
        <v>151</v>
      </c>
      <c r="DL31" s="73" t="s">
        <v>151</v>
      </c>
      <c r="DM31" s="73" t="s">
        <v>151</v>
      </c>
      <c r="DN31" s="73" t="s">
        <v>151</v>
      </c>
      <c r="DO31" s="73" t="s">
        <v>151</v>
      </c>
      <c r="DP31" s="73" t="s">
        <v>151</v>
      </c>
      <c r="DQ31" s="73" t="s">
        <v>151</v>
      </c>
      <c r="DR31" s="73" t="s">
        <v>151</v>
      </c>
      <c r="DS31" s="73" t="s">
        <v>151</v>
      </c>
      <c r="DT31" s="73" t="s">
        <v>151</v>
      </c>
      <c r="DU31" s="73" t="s">
        <v>151</v>
      </c>
      <c r="DV31" s="73">
        <f t="shared" si="47"/>
        <v>0</v>
      </c>
      <c r="DW31" s="73">
        <f t="shared" si="37"/>
        <v>0</v>
      </c>
      <c r="DX31" s="74" t="s">
        <v>151</v>
      </c>
      <c r="DY31" s="70" t="s">
        <v>151</v>
      </c>
      <c r="DZ31" s="70" t="s">
        <v>151</v>
      </c>
    </row>
    <row r="32" spans="1:130" x14ac:dyDescent="0.3">
      <c r="A32" s="88" t="s">
        <v>49</v>
      </c>
      <c r="B32" s="88" t="s">
        <v>50</v>
      </c>
      <c r="C32" s="88" t="s">
        <v>117</v>
      </c>
      <c r="D32" s="88">
        <v>2007001318</v>
      </c>
      <c r="E32" s="88" t="s">
        <v>89</v>
      </c>
      <c r="F32" s="48">
        <v>705</v>
      </c>
      <c r="G32" s="61">
        <v>688</v>
      </c>
      <c r="H32" s="61">
        <v>400</v>
      </c>
      <c r="I32" s="62">
        <v>0</v>
      </c>
      <c r="J32" s="62">
        <v>1537</v>
      </c>
      <c r="K32" s="62">
        <f t="shared" si="3"/>
        <v>1537</v>
      </c>
      <c r="L32" s="62">
        <v>0</v>
      </c>
      <c r="M32" s="62">
        <v>1356</v>
      </c>
      <c r="N32" s="62">
        <f t="shared" si="4"/>
        <v>1356</v>
      </c>
      <c r="O32" s="62">
        <v>0</v>
      </c>
      <c r="P32" s="62">
        <v>725</v>
      </c>
      <c r="Q32" s="62">
        <f t="shared" si="5"/>
        <v>725</v>
      </c>
      <c r="R32" s="62">
        <v>0</v>
      </c>
      <c r="S32" s="62">
        <v>942</v>
      </c>
      <c r="T32" s="62">
        <f t="shared" si="6"/>
        <v>942</v>
      </c>
      <c r="U32" s="62">
        <v>0</v>
      </c>
      <c r="V32" s="62">
        <v>705</v>
      </c>
      <c r="W32" s="62">
        <f t="shared" si="7"/>
        <v>705</v>
      </c>
      <c r="X32" s="62">
        <v>0</v>
      </c>
      <c r="Y32" s="62">
        <v>1200</v>
      </c>
      <c r="Z32" s="62">
        <f t="shared" si="8"/>
        <v>1200</v>
      </c>
      <c r="AA32" s="63">
        <v>0</v>
      </c>
      <c r="AB32" s="62">
        <v>1087</v>
      </c>
      <c r="AC32" s="62">
        <f t="shared" si="9"/>
        <v>1087</v>
      </c>
      <c r="AD32" s="63">
        <v>0</v>
      </c>
      <c r="AE32" s="62">
        <v>1358</v>
      </c>
      <c r="AF32" s="62">
        <f t="shared" si="38"/>
        <v>1358</v>
      </c>
      <c r="AG32" s="63">
        <v>0</v>
      </c>
      <c r="AH32" s="62">
        <v>1320</v>
      </c>
      <c r="AI32" s="62">
        <f t="shared" si="10"/>
        <v>1320</v>
      </c>
      <c r="AJ32" s="64" t="s">
        <v>555</v>
      </c>
      <c r="AK32" s="65">
        <v>604000</v>
      </c>
      <c r="AL32" s="65">
        <v>530000</v>
      </c>
      <c r="AM32" s="65">
        <v>297000</v>
      </c>
      <c r="AN32" s="79">
        <v>391000</v>
      </c>
      <c r="AO32" s="79">
        <v>288000</v>
      </c>
      <c r="AP32" s="79">
        <v>493000</v>
      </c>
      <c r="AQ32" s="65">
        <v>444000</v>
      </c>
      <c r="AR32" s="65">
        <v>547000</v>
      </c>
      <c r="AS32" s="65">
        <v>537000</v>
      </c>
      <c r="AT32" s="66">
        <f t="shared" si="11"/>
        <v>392.9733246584255</v>
      </c>
      <c r="AU32" s="66">
        <f t="shared" si="12"/>
        <v>390.85545722713863</v>
      </c>
      <c r="AV32" s="66">
        <f t="shared" si="13"/>
        <v>409.65517241379308</v>
      </c>
      <c r="AW32" s="66">
        <f t="shared" si="14"/>
        <v>415.07430997876855</v>
      </c>
      <c r="AX32" s="66">
        <f t="shared" si="15"/>
        <v>408.51063829787233</v>
      </c>
      <c r="AY32" s="66">
        <f t="shared" si="16"/>
        <v>410.83333333333331</v>
      </c>
      <c r="AZ32" s="66">
        <f t="shared" si="82"/>
        <v>408.46366145354187</v>
      </c>
      <c r="BA32" s="66">
        <f t="shared" si="60"/>
        <v>402.79823269513992</v>
      </c>
      <c r="BB32" s="66">
        <f t="shared" si="94"/>
        <v>406.81818181818181</v>
      </c>
      <c r="BC32" s="68">
        <f t="shared" si="17"/>
        <v>4131000</v>
      </c>
      <c r="BD32" s="68">
        <f t="shared" si="18"/>
        <v>405.10914576402172</v>
      </c>
      <c r="BE32" s="68">
        <f t="shared" si="0"/>
        <v>13.844857159756316</v>
      </c>
      <c r="BF32" s="69">
        <f t="shared" si="19"/>
        <v>3.5231035520770559E-2</v>
      </c>
      <c r="BG32" s="70" t="str" cm="1">
        <f t="array" ref="BG32">_xlfn.IFS(BF32&gt;0%,"Incremento",BF32=0%,"Stazionarietà",BF32&lt;0%,"Diminuzione")</f>
        <v>Incremento</v>
      </c>
      <c r="BH32" s="85" t="s">
        <v>160</v>
      </c>
      <c r="BI32" s="72" t="s">
        <v>180</v>
      </c>
      <c r="BJ32" s="73">
        <v>189</v>
      </c>
      <c r="BK32" s="73">
        <v>134</v>
      </c>
      <c r="BL32" s="73">
        <v>66</v>
      </c>
      <c r="BM32" s="74">
        <v>80</v>
      </c>
      <c r="BN32" s="74">
        <v>59</v>
      </c>
      <c r="BO32" s="74">
        <v>99.2</v>
      </c>
      <c r="BP32" s="73">
        <v>74</v>
      </c>
      <c r="BQ32" s="73">
        <v>76</v>
      </c>
      <c r="BR32" s="73">
        <v>70</v>
      </c>
      <c r="BS32" s="62">
        <f t="shared" si="20"/>
        <v>0.12296681847755368</v>
      </c>
      <c r="BT32" s="62">
        <f t="shared" si="21"/>
        <v>9.8820058997050153E-2</v>
      </c>
      <c r="BU32" s="62">
        <f t="shared" si="22"/>
        <v>9.1034482758620694E-2</v>
      </c>
      <c r="BV32" s="62">
        <f t="shared" si="23"/>
        <v>8.4925690021231418E-2</v>
      </c>
      <c r="BW32" s="62">
        <f t="shared" si="24"/>
        <v>8.3687943262411343E-2</v>
      </c>
      <c r="BX32" s="62">
        <f t="shared" si="25"/>
        <v>8.2666666666666666E-2</v>
      </c>
      <c r="BY32" s="62">
        <f t="shared" si="84"/>
        <v>6.8077276908923637E-2</v>
      </c>
      <c r="BZ32" s="62">
        <f t="shared" si="85"/>
        <v>5.5964653902798235E-2</v>
      </c>
      <c r="CA32" s="62">
        <f t="shared" si="95"/>
        <v>5.3030303030303032E-2</v>
      </c>
      <c r="CB32" s="62">
        <f t="shared" si="26"/>
        <v>847.2</v>
      </c>
      <c r="CC32" s="62">
        <f t="shared" si="87"/>
        <v>8.2352654891728772E-2</v>
      </c>
      <c r="CD32" s="75">
        <f t="shared" si="27"/>
        <v>-6.9936515447250658E-2</v>
      </c>
      <c r="CE32" s="69">
        <f t="shared" si="89"/>
        <v>-0.56874298540965207</v>
      </c>
      <c r="CF32" s="70" t="str" cm="1">
        <f t="array" ref="CF32">_xlfn.IFS(CE32&gt;0%,"Incremento",CE32=0%,"Stazionarietà",CE32&lt;0%,"Diminuzione")</f>
        <v>Diminuzione</v>
      </c>
      <c r="CG32" s="73">
        <v>9</v>
      </c>
      <c r="CH32" s="73">
        <v>5</v>
      </c>
      <c r="CI32" s="73">
        <v>2</v>
      </c>
      <c r="CJ32" s="74">
        <v>9</v>
      </c>
      <c r="CK32" s="74">
        <v>3</v>
      </c>
      <c r="CL32" s="74">
        <v>4.2</v>
      </c>
      <c r="CM32" s="73">
        <v>8</v>
      </c>
      <c r="CN32" s="73">
        <v>10</v>
      </c>
      <c r="CO32" s="73">
        <v>8</v>
      </c>
      <c r="CP32" s="73">
        <f t="shared" si="29"/>
        <v>5.8555627846454128E-3</v>
      </c>
      <c r="CQ32" s="73">
        <f t="shared" si="30"/>
        <v>3.687315634218289E-3</v>
      </c>
      <c r="CR32" s="73">
        <f t="shared" si="31"/>
        <v>2.7586206896551722E-3</v>
      </c>
      <c r="CS32" s="73">
        <f t="shared" si="32"/>
        <v>9.5541401273885346E-3</v>
      </c>
      <c r="CT32" s="73">
        <f t="shared" si="33"/>
        <v>4.2553191489361703E-3</v>
      </c>
      <c r="CU32" s="73">
        <f t="shared" si="34"/>
        <v>3.5000000000000001E-3</v>
      </c>
      <c r="CV32" s="73">
        <f t="shared" si="90"/>
        <v>7.3597056117755289E-3</v>
      </c>
      <c r="CW32" s="73">
        <f t="shared" si="88"/>
        <v>7.3637702503681884E-3</v>
      </c>
      <c r="CX32" s="73">
        <f t="shared" si="62"/>
        <v>6.0606060606060606E-3</v>
      </c>
      <c r="CY32" s="73">
        <f t="shared" si="35"/>
        <v>58.2</v>
      </c>
      <c r="CZ32" s="73">
        <f>(SUM(CP32:CX32))/9</f>
        <v>5.5994489230659283E-3</v>
      </c>
      <c r="DA32" s="74">
        <f t="shared" si="36"/>
        <v>2.050432759606478E-4</v>
      </c>
      <c r="DB32" s="69">
        <f>(CX32/CP32)-1</f>
        <v>3.5016835016835168E-2</v>
      </c>
      <c r="DC32" s="70" t="str" cm="1">
        <f t="array" ref="DC32">_xlfn.IFS(DB32&gt;0%,"Incremento",DB32=0%,"Stazionarietà",DB32&lt;0%,"Diminuzione")</f>
        <v>Incremento</v>
      </c>
      <c r="DD32" s="73" t="s">
        <v>151</v>
      </c>
      <c r="DE32" s="73" t="s">
        <v>151</v>
      </c>
      <c r="DF32" s="73" t="s">
        <v>151</v>
      </c>
      <c r="DG32" s="74" t="s">
        <v>151</v>
      </c>
      <c r="DH32" s="74" t="s">
        <v>151</v>
      </c>
      <c r="DI32" s="74" t="s">
        <v>151</v>
      </c>
      <c r="DJ32" s="73" t="s">
        <v>151</v>
      </c>
      <c r="DK32" s="73" t="s">
        <v>151</v>
      </c>
      <c r="DL32" s="73" t="s">
        <v>151</v>
      </c>
      <c r="DM32" s="73" t="s">
        <v>151</v>
      </c>
      <c r="DN32" s="73" t="s">
        <v>151</v>
      </c>
      <c r="DO32" s="73" t="s">
        <v>151</v>
      </c>
      <c r="DP32" s="73" t="s">
        <v>151</v>
      </c>
      <c r="DQ32" s="73" t="s">
        <v>151</v>
      </c>
      <c r="DR32" s="73" t="s">
        <v>151</v>
      </c>
      <c r="DS32" s="73" t="s">
        <v>151</v>
      </c>
      <c r="DT32" s="73" t="s">
        <v>151</v>
      </c>
      <c r="DU32" s="73" t="s">
        <v>151</v>
      </c>
      <c r="DV32" s="73">
        <f t="shared" si="47"/>
        <v>0</v>
      </c>
      <c r="DW32" s="73">
        <f t="shared" si="37"/>
        <v>0</v>
      </c>
      <c r="DX32" s="74" t="s">
        <v>151</v>
      </c>
      <c r="DY32" s="70" t="s">
        <v>151</v>
      </c>
      <c r="DZ32" s="70" t="s">
        <v>151</v>
      </c>
    </row>
    <row r="33" spans="1:130" x14ac:dyDescent="0.3">
      <c r="A33" s="88" t="s">
        <v>51</v>
      </c>
      <c r="B33" s="88" t="s">
        <v>52</v>
      </c>
      <c r="C33" s="88" t="s">
        <v>118</v>
      </c>
      <c r="D33" s="94">
        <v>2019000170</v>
      </c>
      <c r="E33" s="88" t="s">
        <v>88</v>
      </c>
      <c r="F33" s="48">
        <v>1570</v>
      </c>
      <c r="G33" s="61">
        <v>71.5</v>
      </c>
      <c r="H33" s="61">
        <v>16.2</v>
      </c>
      <c r="I33" s="62">
        <v>101.598</v>
      </c>
      <c r="J33" s="62">
        <v>92.924000000000007</v>
      </c>
      <c r="K33" s="62">
        <f t="shared" si="3"/>
        <v>194.52199999999999</v>
      </c>
      <c r="L33" s="62">
        <v>98.427999999999997</v>
      </c>
      <c r="M33" s="62">
        <v>93.134</v>
      </c>
      <c r="N33" s="62">
        <f t="shared" si="4"/>
        <v>191.56200000000001</v>
      </c>
      <c r="O33" s="62">
        <v>98.275999999999996</v>
      </c>
      <c r="P33" s="62">
        <v>90.183999999999997</v>
      </c>
      <c r="Q33" s="62">
        <f t="shared" si="5"/>
        <v>188.45999999999998</v>
      </c>
      <c r="R33" s="62">
        <v>100.254</v>
      </c>
      <c r="S33" s="62">
        <v>90.293999999999997</v>
      </c>
      <c r="T33" s="62">
        <f t="shared" si="6"/>
        <v>190.548</v>
      </c>
      <c r="U33" s="62">
        <v>106.428</v>
      </c>
      <c r="V33" s="62">
        <v>89.194999999999993</v>
      </c>
      <c r="W33" s="62">
        <f t="shared" si="7"/>
        <v>195.62299999999999</v>
      </c>
      <c r="X33" s="62">
        <v>106.72499999999999</v>
      </c>
      <c r="Y33" s="62">
        <v>86.082999999999998</v>
      </c>
      <c r="Z33" s="62">
        <f t="shared" si="8"/>
        <v>192.80799999999999</v>
      </c>
      <c r="AA33" s="63">
        <v>102.801</v>
      </c>
      <c r="AB33" s="62">
        <v>85.149000000000001</v>
      </c>
      <c r="AC33" s="62">
        <f t="shared" si="9"/>
        <v>187.95</v>
      </c>
      <c r="AD33" s="63">
        <v>106.907</v>
      </c>
      <c r="AE33" s="62">
        <v>93.296000000000006</v>
      </c>
      <c r="AF33" s="62">
        <f t="shared" si="38"/>
        <v>200.203</v>
      </c>
      <c r="AG33" s="63">
        <v>130.52000000000001</v>
      </c>
      <c r="AH33" s="62">
        <v>104.157</v>
      </c>
      <c r="AI33" s="62">
        <f t="shared" si="10"/>
        <v>234.67700000000002</v>
      </c>
      <c r="AJ33" s="64" t="s">
        <v>557</v>
      </c>
      <c r="AK33" s="65">
        <v>51326</v>
      </c>
      <c r="AL33" s="65">
        <v>50175</v>
      </c>
      <c r="AM33" s="65">
        <v>49560</v>
      </c>
      <c r="AN33" s="79">
        <v>50023</v>
      </c>
      <c r="AO33" s="79">
        <v>50445</v>
      </c>
      <c r="AP33" s="79">
        <v>49554</v>
      </c>
      <c r="AQ33" s="65">
        <v>48692</v>
      </c>
      <c r="AR33" s="65">
        <v>52929</v>
      </c>
      <c r="AS33" s="65">
        <v>60626</v>
      </c>
      <c r="AT33" s="66">
        <f t="shared" si="11"/>
        <v>263.85704444741469</v>
      </c>
      <c r="AU33" s="66">
        <f t="shared" si="12"/>
        <v>261.92564287280356</v>
      </c>
      <c r="AV33" s="66">
        <f t="shared" si="13"/>
        <v>262.97357529449221</v>
      </c>
      <c r="AW33" s="66">
        <f t="shared" si="14"/>
        <v>262.52177928920798</v>
      </c>
      <c r="AX33" s="66">
        <f t="shared" si="15"/>
        <v>257.86845105125678</v>
      </c>
      <c r="AY33" s="66">
        <f t="shared" si="16"/>
        <v>257.01215717190161</v>
      </c>
      <c r="AZ33" s="66">
        <f t="shared" si="82"/>
        <v>259.06890130353821</v>
      </c>
      <c r="BA33" s="66">
        <f t="shared" si="60"/>
        <v>264.37665769244217</v>
      </c>
      <c r="BB33" s="66">
        <f t="shared" si="94"/>
        <v>258.33805613673258</v>
      </c>
      <c r="BC33" s="68">
        <f t="shared" si="17"/>
        <v>463330</v>
      </c>
      <c r="BD33" s="68">
        <f t="shared" si="18"/>
        <v>260.88247391775445</v>
      </c>
      <c r="BE33" s="68">
        <f t="shared" si="0"/>
        <v>-5.5189883106821185</v>
      </c>
      <c r="BF33" s="69">
        <f t="shared" si="19"/>
        <v>-2.0916585047938807E-2</v>
      </c>
      <c r="BG33" s="70" t="str" cm="1">
        <f t="array" ref="BG33">_xlfn.IFS(BF33&gt;0%,"Incremento",BF33=0%,"Stazionarietà",BF33&lt;0%,"Diminuzione")</f>
        <v>Diminuzione</v>
      </c>
      <c r="BH33" s="91" t="s">
        <v>163</v>
      </c>
      <c r="BI33" s="72" t="s">
        <v>182</v>
      </c>
      <c r="BJ33" s="73">
        <v>27.47</v>
      </c>
      <c r="BK33" s="73">
        <v>30.21</v>
      </c>
      <c r="BL33" s="73">
        <v>28.6</v>
      </c>
      <c r="BM33" s="74">
        <v>33.57</v>
      </c>
      <c r="BN33" s="74">
        <v>34.99</v>
      </c>
      <c r="BO33" s="74">
        <v>26.22</v>
      </c>
      <c r="BP33" s="73">
        <v>35.46</v>
      </c>
      <c r="BQ33" s="73">
        <v>24.29</v>
      </c>
      <c r="BR33" s="73">
        <v>15.18</v>
      </c>
      <c r="BS33" s="62">
        <f t="shared" si="20"/>
        <v>0.14121795992227101</v>
      </c>
      <c r="BT33" s="62">
        <f t="shared" si="21"/>
        <v>0.15770351113477621</v>
      </c>
      <c r="BU33" s="62">
        <f t="shared" si="22"/>
        <v>0.15175634086808873</v>
      </c>
      <c r="BV33" s="62">
        <f t="shared" si="23"/>
        <v>0.17617608161723031</v>
      </c>
      <c r="BW33" s="62">
        <f t="shared" si="24"/>
        <v>0.17886444845442512</v>
      </c>
      <c r="BX33" s="62">
        <f t="shared" si="25"/>
        <v>0.13599020787519189</v>
      </c>
      <c r="BY33" s="62">
        <f t="shared" si="84"/>
        <v>0.18866719872306467</v>
      </c>
      <c r="BZ33" s="62">
        <f t="shared" si="85"/>
        <v>0.12132685324395738</v>
      </c>
      <c r="CA33" s="62">
        <f t="shared" si="95"/>
        <v>6.4684651670167931E-2</v>
      </c>
      <c r="CB33" s="62">
        <f t="shared" si="26"/>
        <v>255.99</v>
      </c>
      <c r="CC33" s="62">
        <f t="shared" si="87"/>
        <v>0.14626525038990815</v>
      </c>
      <c r="CD33" s="75">
        <f t="shared" si="27"/>
        <v>-7.6533308252103083E-2</v>
      </c>
      <c r="CE33" s="69">
        <f t="shared" si="89"/>
        <v>-0.54195166318950116</v>
      </c>
      <c r="CF33" s="70" t="str" cm="1">
        <f t="array" ref="CF33">_xlfn.IFS(CE33&gt;0%,"Incremento",CE33=0%,"Stazionarietà",CE33&lt;0%,"Diminuzione")</f>
        <v>Diminuzione</v>
      </c>
      <c r="CG33" s="73">
        <v>26.95</v>
      </c>
      <c r="CH33" s="73">
        <v>34.424999999999997</v>
      </c>
      <c r="CI33" s="73">
        <v>44.317</v>
      </c>
      <c r="CJ33" s="74">
        <v>45.954000000000001</v>
      </c>
      <c r="CK33" s="74">
        <v>19.771000000000001</v>
      </c>
      <c r="CL33" s="74">
        <v>33.773000000000003</v>
      </c>
      <c r="CM33" s="73">
        <v>47.558999999999997</v>
      </c>
      <c r="CN33" s="73">
        <v>36.856000000000002</v>
      </c>
      <c r="CO33" s="73">
        <v>20.411999999999999</v>
      </c>
      <c r="CP33" s="73">
        <f t="shared" si="29"/>
        <v>0.13854474044066994</v>
      </c>
      <c r="CQ33" s="73">
        <f t="shared" si="30"/>
        <v>0.17970683120869482</v>
      </c>
      <c r="CR33" s="73">
        <f t="shared" si="31"/>
        <v>0.23515334819059749</v>
      </c>
      <c r="CS33" s="73">
        <f t="shared" si="32"/>
        <v>0.24116757982240694</v>
      </c>
      <c r="CT33" s="73">
        <f t="shared" si="33"/>
        <v>0.10106684796777476</v>
      </c>
      <c r="CU33" s="73">
        <f t="shared" si="34"/>
        <v>0.17516389361437287</v>
      </c>
      <c r="CV33" s="73">
        <f t="shared" si="90"/>
        <v>0.25304070231444531</v>
      </c>
      <c r="CW33" s="73">
        <f t="shared" si="88"/>
        <v>0.18409314545736077</v>
      </c>
      <c r="CX33" s="73">
        <f t="shared" si="62"/>
        <v>8.6979124498779162E-2</v>
      </c>
      <c r="CY33" s="73">
        <f t="shared" si="35"/>
        <v>310.017</v>
      </c>
      <c r="CZ33" s="73">
        <f>(SUM(CP33:CX33))/9</f>
        <v>0.17721291261278913</v>
      </c>
      <c r="DA33" s="74">
        <f t="shared" si="36"/>
        <v>-5.1565615941890783E-2</v>
      </c>
      <c r="DB33" s="69">
        <f>(CX33/CP33)-1</f>
        <v>-0.37219468438769865</v>
      </c>
      <c r="DC33" s="70" t="str" cm="1">
        <f t="array" ref="DC33">_xlfn.IFS(DB33&gt;0%,"Incremento",DB33=0%,"Stazionarietà",DB33&lt;0%,"Diminuzione")</f>
        <v>Diminuzione</v>
      </c>
      <c r="DD33" s="73" t="s">
        <v>151</v>
      </c>
      <c r="DE33" s="73" t="s">
        <v>151</v>
      </c>
      <c r="DF33" s="73" t="s">
        <v>151</v>
      </c>
      <c r="DG33" s="74" t="s">
        <v>151</v>
      </c>
      <c r="DH33" s="74" t="s">
        <v>151</v>
      </c>
      <c r="DI33" s="74" t="s">
        <v>151</v>
      </c>
      <c r="DJ33" s="73" t="s">
        <v>151</v>
      </c>
      <c r="DK33" s="73" t="s">
        <v>151</v>
      </c>
      <c r="DL33" s="73" t="s">
        <v>151</v>
      </c>
      <c r="DM33" s="73" t="s">
        <v>151</v>
      </c>
      <c r="DN33" s="73" t="s">
        <v>151</v>
      </c>
      <c r="DO33" s="73" t="s">
        <v>151</v>
      </c>
      <c r="DP33" s="73" t="s">
        <v>151</v>
      </c>
      <c r="DQ33" s="73" t="s">
        <v>151</v>
      </c>
      <c r="DR33" s="73" t="s">
        <v>151</v>
      </c>
      <c r="DS33" s="73" t="s">
        <v>151</v>
      </c>
      <c r="DT33" s="73" t="s">
        <v>151</v>
      </c>
      <c r="DU33" s="73" t="s">
        <v>151</v>
      </c>
      <c r="DV33" s="73">
        <f t="shared" si="47"/>
        <v>0</v>
      </c>
      <c r="DW33" s="73">
        <f t="shared" si="37"/>
        <v>0</v>
      </c>
      <c r="DX33" s="74" t="s">
        <v>151</v>
      </c>
      <c r="DY33" s="70" t="s">
        <v>151</v>
      </c>
      <c r="DZ33" s="70" t="s">
        <v>151</v>
      </c>
    </row>
    <row r="34" spans="1:130" x14ac:dyDescent="0.3">
      <c r="A34" s="88" t="s">
        <v>53</v>
      </c>
      <c r="B34" s="88" t="s">
        <v>54</v>
      </c>
      <c r="C34" s="88" t="s">
        <v>119</v>
      </c>
      <c r="D34" s="88">
        <v>2007000824</v>
      </c>
      <c r="E34" s="88" t="s">
        <v>89</v>
      </c>
      <c r="F34" s="48">
        <v>1145</v>
      </c>
      <c r="G34" s="61">
        <v>0</v>
      </c>
      <c r="H34" s="61">
        <v>841</v>
      </c>
      <c r="I34" s="62">
        <v>0</v>
      </c>
      <c r="J34" s="62">
        <v>3151.1590000000001</v>
      </c>
      <c r="K34" s="62">
        <f t="shared" si="3"/>
        <v>3151.1590000000001</v>
      </c>
      <c r="L34" s="62">
        <v>0</v>
      </c>
      <c r="M34" s="62">
        <v>4364.2709999999997</v>
      </c>
      <c r="N34" s="62">
        <f t="shared" si="4"/>
        <v>4364.2709999999997</v>
      </c>
      <c r="O34" s="62">
        <v>0</v>
      </c>
      <c r="P34" s="62">
        <v>3456.6979999999999</v>
      </c>
      <c r="Q34" s="62">
        <f t="shared" si="5"/>
        <v>3456.6979999999999</v>
      </c>
      <c r="R34" s="62">
        <v>0</v>
      </c>
      <c r="S34" s="62">
        <v>3013.1529999999998</v>
      </c>
      <c r="T34" s="62">
        <f t="shared" si="6"/>
        <v>3013.1529999999998</v>
      </c>
      <c r="U34" s="62">
        <v>0</v>
      </c>
      <c r="V34" s="62">
        <v>3245.9279999999999</v>
      </c>
      <c r="W34" s="62">
        <f t="shared" si="7"/>
        <v>3245.9279999999999</v>
      </c>
      <c r="X34" s="62">
        <v>0</v>
      </c>
      <c r="Y34" s="62">
        <v>4093.2910000000002</v>
      </c>
      <c r="Z34" s="62">
        <f t="shared" si="8"/>
        <v>4093.2910000000002</v>
      </c>
      <c r="AA34" s="63">
        <v>0</v>
      </c>
      <c r="AB34" s="62">
        <v>4218.6120000000001</v>
      </c>
      <c r="AC34" s="62">
        <f t="shared" si="9"/>
        <v>4218.6120000000001</v>
      </c>
      <c r="AD34" s="63">
        <v>0</v>
      </c>
      <c r="AE34" s="62">
        <v>4049.0050000000001</v>
      </c>
      <c r="AF34" s="62">
        <f t="shared" si="38"/>
        <v>4049.0050000000001</v>
      </c>
      <c r="AG34" s="63">
        <v>0</v>
      </c>
      <c r="AH34" s="62">
        <v>3947.4920000000002</v>
      </c>
      <c r="AI34" s="62">
        <f t="shared" si="10"/>
        <v>3947.4920000000002</v>
      </c>
      <c r="AJ34" s="64" t="s">
        <v>559</v>
      </c>
      <c r="AK34" s="65">
        <v>1197437</v>
      </c>
      <c r="AL34" s="65">
        <v>1637470</v>
      </c>
      <c r="AM34" s="65">
        <v>1338867</v>
      </c>
      <c r="AN34" s="79">
        <v>1185134</v>
      </c>
      <c r="AO34" s="79">
        <v>1286026</v>
      </c>
      <c r="AP34" s="79">
        <v>1588572</v>
      </c>
      <c r="AQ34" s="65">
        <v>1624111</v>
      </c>
      <c r="AR34" s="65">
        <v>1559622</v>
      </c>
      <c r="AS34" s="65">
        <v>1530614</v>
      </c>
      <c r="AT34" s="66">
        <f t="shared" si="11"/>
        <v>379.99891468504126</v>
      </c>
      <c r="AU34" s="66">
        <f t="shared" si="12"/>
        <v>375.19897366593415</v>
      </c>
      <c r="AV34" s="66">
        <f t="shared" si="13"/>
        <v>387.32541865097852</v>
      </c>
      <c r="AW34" s="66">
        <f t="shared" si="14"/>
        <v>393.32021971668883</v>
      </c>
      <c r="AX34" s="66">
        <f t="shared" si="15"/>
        <v>396.19671169539191</v>
      </c>
      <c r="AY34" s="66">
        <f t="shared" si="16"/>
        <v>388.09163580111942</v>
      </c>
      <c r="AZ34" s="66">
        <f t="shared" si="82"/>
        <v>384.98705261351364</v>
      </c>
      <c r="BA34" s="66">
        <f t="shared" si="60"/>
        <v>385.18648408683117</v>
      </c>
      <c r="BB34" s="66">
        <f t="shared" si="94"/>
        <v>387.74340771304918</v>
      </c>
      <c r="BC34" s="68">
        <f t="shared" si="17"/>
        <v>12947853</v>
      </c>
      <c r="BD34" s="68">
        <f t="shared" si="18"/>
        <v>386.44986873650538</v>
      </c>
      <c r="BE34" s="68">
        <f t="shared" si="0"/>
        <v>7.7444930280079234</v>
      </c>
      <c r="BF34" s="69">
        <f t="shared" si="19"/>
        <v>2.0380303018567414E-2</v>
      </c>
      <c r="BG34" s="70" t="str" cm="1">
        <f t="array" ref="BG34">_xlfn.IFS(BF34&gt;0%,"Incremento",BF34=0%,"Stazionarietà",BF34&lt;0%,"Diminuzione")</f>
        <v>Incremento</v>
      </c>
      <c r="BH34" s="91" t="s">
        <v>164</v>
      </c>
      <c r="BI34" s="72" t="s">
        <v>180</v>
      </c>
      <c r="BJ34" s="73">
        <v>349</v>
      </c>
      <c r="BK34" s="73">
        <v>589</v>
      </c>
      <c r="BL34" s="73">
        <v>367</v>
      </c>
      <c r="BM34" s="74">
        <v>296</v>
      </c>
      <c r="BN34" s="74">
        <v>311</v>
      </c>
      <c r="BO34" s="74">
        <v>424</v>
      </c>
      <c r="BP34" s="73">
        <v>433</v>
      </c>
      <c r="BQ34" s="73">
        <v>451</v>
      </c>
      <c r="BR34" s="73">
        <v>487</v>
      </c>
      <c r="BS34" s="62">
        <f t="shared" si="20"/>
        <v>0.11075290075810201</v>
      </c>
      <c r="BT34" s="62">
        <f t="shared" si="21"/>
        <v>0.13495953848878772</v>
      </c>
      <c r="BU34" s="62">
        <f t="shared" si="22"/>
        <v>0.10617068659165481</v>
      </c>
      <c r="BV34" s="62">
        <f t="shared" si="23"/>
        <v>9.8235967440086849E-2</v>
      </c>
      <c r="BW34" s="62">
        <f t="shared" si="24"/>
        <v>9.5812353200687136E-2</v>
      </c>
      <c r="BX34" s="62">
        <f t="shared" si="25"/>
        <v>0.10358413315838037</v>
      </c>
      <c r="BY34" s="62">
        <f t="shared" si="84"/>
        <v>0.10264039451838662</v>
      </c>
      <c r="BZ34" s="62">
        <f t="shared" si="85"/>
        <v>0.11138538974390004</v>
      </c>
      <c r="CA34" s="62">
        <f t="shared" si="95"/>
        <v>0.12336947104642644</v>
      </c>
      <c r="CB34" s="62">
        <f t="shared" si="26"/>
        <v>3707</v>
      </c>
      <c r="CC34" s="62">
        <f t="shared" si="87"/>
        <v>0.10965675943849021</v>
      </c>
      <c r="CD34" s="75">
        <f t="shared" si="27"/>
        <v>1.2616570288324427E-2</v>
      </c>
      <c r="CE34" s="69">
        <f t="shared" si="89"/>
        <v>0.11391638685726679</v>
      </c>
      <c r="CF34" s="70" t="str" cm="1">
        <f t="array" ref="CF34">_xlfn.IFS(CE34&gt;0%,"Incremento",CE34=0%,"Stazionarietà",CE34&lt;0%,"Diminuzione")</f>
        <v>Incremento</v>
      </c>
      <c r="CG34" s="73">
        <v>36</v>
      </c>
      <c r="CH34" s="73">
        <v>64</v>
      </c>
      <c r="CI34" s="73">
        <v>49</v>
      </c>
      <c r="CJ34" s="74">
        <v>209</v>
      </c>
      <c r="CK34" s="74">
        <v>189</v>
      </c>
      <c r="CL34" s="74">
        <v>109</v>
      </c>
      <c r="CM34" s="73">
        <v>176</v>
      </c>
      <c r="CN34" s="73">
        <v>104</v>
      </c>
      <c r="CO34" s="73">
        <v>91</v>
      </c>
      <c r="CP34" s="73">
        <f t="shared" si="29"/>
        <v>1.1424367986509091E-2</v>
      </c>
      <c r="CQ34" s="73">
        <f t="shared" si="30"/>
        <v>1.4664533893518529E-2</v>
      </c>
      <c r="CR34" s="73">
        <f t="shared" si="31"/>
        <v>1.4175377773817673E-2</v>
      </c>
      <c r="CS34" s="73">
        <f t="shared" si="32"/>
        <v>6.9362558091142404E-2</v>
      </c>
      <c r="CT34" s="73">
        <f t="shared" si="33"/>
        <v>5.8226799855079968E-2</v>
      </c>
      <c r="CU34" s="73">
        <f t="shared" si="34"/>
        <v>2.6628939892130804E-2</v>
      </c>
      <c r="CV34" s="73">
        <f t="shared" si="90"/>
        <v>4.1719883222254145E-2</v>
      </c>
      <c r="CW34" s="73">
        <f t="shared" si="88"/>
        <v>2.5685322690389367E-2</v>
      </c>
      <c r="CX34" s="73">
        <f t="shared" si="62"/>
        <v>2.3052611632905146E-2</v>
      </c>
      <c r="CY34" s="73">
        <f t="shared" si="35"/>
        <v>1027</v>
      </c>
      <c r="CZ34" s="73">
        <f>(SUM(CP34:CX34))/9</f>
        <v>3.1660043893083016E-2</v>
      </c>
      <c r="DA34" s="74">
        <f t="shared" si="36"/>
        <v>1.1628243646396055E-2</v>
      </c>
      <c r="DB34" s="69">
        <f>(CX34/CP34)-1</f>
        <v>1.0178456839037153</v>
      </c>
      <c r="DC34" s="70" t="str" cm="1">
        <f t="array" ref="DC34">_xlfn.IFS(DB34&gt;0%,"Incremento",DB34=0%,"Stazionarietà",DB34&lt;0%,"Diminuzione")</f>
        <v>Incremento</v>
      </c>
      <c r="DD34" s="73" t="s">
        <v>151</v>
      </c>
      <c r="DE34" s="73" t="s">
        <v>151</v>
      </c>
      <c r="DF34" s="73" t="s">
        <v>151</v>
      </c>
      <c r="DG34" s="74" t="s">
        <v>151</v>
      </c>
      <c r="DH34" s="74" t="s">
        <v>151</v>
      </c>
      <c r="DI34" s="74" t="s">
        <v>151</v>
      </c>
      <c r="DJ34" s="73" t="s">
        <v>151</v>
      </c>
      <c r="DK34" s="73" t="s">
        <v>151</v>
      </c>
      <c r="DL34" s="73" t="s">
        <v>151</v>
      </c>
      <c r="DM34" s="73" t="s">
        <v>151</v>
      </c>
      <c r="DN34" s="73" t="s">
        <v>151</v>
      </c>
      <c r="DO34" s="73" t="s">
        <v>151</v>
      </c>
      <c r="DP34" s="73" t="s">
        <v>151</v>
      </c>
      <c r="DQ34" s="73" t="s">
        <v>151</v>
      </c>
      <c r="DR34" s="73" t="s">
        <v>151</v>
      </c>
      <c r="DS34" s="73" t="s">
        <v>151</v>
      </c>
      <c r="DT34" s="73" t="s">
        <v>151</v>
      </c>
      <c r="DU34" s="73" t="s">
        <v>151</v>
      </c>
      <c r="DV34" s="73">
        <f t="shared" si="47"/>
        <v>0</v>
      </c>
      <c r="DW34" s="73">
        <f t="shared" si="37"/>
        <v>0</v>
      </c>
      <c r="DX34" s="74" t="s">
        <v>151</v>
      </c>
      <c r="DY34" s="70" t="s">
        <v>151</v>
      </c>
      <c r="DZ34" s="70" t="s">
        <v>151</v>
      </c>
    </row>
    <row r="35" spans="1:130" x14ac:dyDescent="0.3">
      <c r="A35" s="88" t="s">
        <v>55</v>
      </c>
      <c r="B35" s="88" t="s">
        <v>56</v>
      </c>
      <c r="C35" s="88" t="s">
        <v>120</v>
      </c>
      <c r="D35" s="88" t="s">
        <v>88</v>
      </c>
      <c r="E35" s="88" t="s">
        <v>89</v>
      </c>
      <c r="F35" s="48" t="s">
        <v>88</v>
      </c>
      <c r="G35" s="61">
        <v>57.4</v>
      </c>
      <c r="H35" s="61">
        <v>25.7</v>
      </c>
      <c r="I35" s="62">
        <v>69.361000000000004</v>
      </c>
      <c r="J35" s="62">
        <v>145.94300000000001</v>
      </c>
      <c r="K35" s="62">
        <f t="shared" si="3"/>
        <v>215.30400000000003</v>
      </c>
      <c r="L35" s="62">
        <v>76.430999999999997</v>
      </c>
      <c r="M35" s="62">
        <v>142.74700000000001</v>
      </c>
      <c r="N35" s="62">
        <f t="shared" si="4"/>
        <v>219.178</v>
      </c>
      <c r="O35" s="62">
        <v>81.281999999999996</v>
      </c>
      <c r="P35" s="62">
        <v>142.60429999999999</v>
      </c>
      <c r="Q35" s="62">
        <f t="shared" si="5"/>
        <v>223.88630000000001</v>
      </c>
      <c r="R35" s="62">
        <v>85.489720000000005</v>
      </c>
      <c r="S35" s="62">
        <v>144.57423</v>
      </c>
      <c r="T35" s="62">
        <f t="shared" si="6"/>
        <v>230.06395000000001</v>
      </c>
      <c r="U35" s="62">
        <v>89.736729999999994</v>
      </c>
      <c r="V35" s="62">
        <v>147.77869999999999</v>
      </c>
      <c r="W35" s="62">
        <f t="shared" si="7"/>
        <v>237.51542999999998</v>
      </c>
      <c r="X35" s="62">
        <v>79.194909999999993</v>
      </c>
      <c r="Y35" s="62">
        <v>131.34446</v>
      </c>
      <c r="Z35" s="62">
        <f t="shared" si="8"/>
        <v>210.53936999999999</v>
      </c>
      <c r="AA35" s="63">
        <v>86.936000000000007</v>
      </c>
      <c r="AB35" s="62">
        <v>142.97300000000001</v>
      </c>
      <c r="AC35" s="62">
        <f t="shared" si="9"/>
        <v>229.90900000000002</v>
      </c>
      <c r="AD35" s="63">
        <v>61.151000000000003</v>
      </c>
      <c r="AE35" s="62">
        <v>163.35300000000001</v>
      </c>
      <c r="AF35" s="62">
        <f t="shared" si="38"/>
        <v>224.50400000000002</v>
      </c>
      <c r="AG35" s="63">
        <v>70.697999999999993</v>
      </c>
      <c r="AH35" s="62">
        <v>153.78</v>
      </c>
      <c r="AI35" s="62">
        <f t="shared" si="10"/>
        <v>224.47800000000001</v>
      </c>
      <c r="AJ35" s="64" t="s">
        <v>560</v>
      </c>
      <c r="AK35" s="65">
        <v>66388.28</v>
      </c>
      <c r="AL35" s="65">
        <v>65686.7</v>
      </c>
      <c r="AM35" s="65">
        <v>69397.17</v>
      </c>
      <c r="AN35" s="79">
        <v>68859.61</v>
      </c>
      <c r="AO35" s="79">
        <v>70445.22</v>
      </c>
      <c r="AP35" s="79">
        <v>63346.96</v>
      </c>
      <c r="AQ35" s="65">
        <v>66134.990000000005</v>
      </c>
      <c r="AR35" s="65">
        <v>77884.7</v>
      </c>
      <c r="AS35" s="65">
        <v>72087.570000000007</v>
      </c>
      <c r="AT35" s="66">
        <f t="shared" si="11"/>
        <v>308.34670976851334</v>
      </c>
      <c r="AU35" s="66">
        <f t="shared" si="12"/>
        <v>299.69568113588042</v>
      </c>
      <c r="AV35" s="66">
        <f t="shared" si="13"/>
        <v>309.96613012944516</v>
      </c>
      <c r="AW35" s="66">
        <f t="shared" si="14"/>
        <v>299.30638850632619</v>
      </c>
      <c r="AX35" s="66">
        <f t="shared" si="15"/>
        <v>296.59218350572007</v>
      </c>
      <c r="AY35" s="66">
        <f t="shared" si="16"/>
        <v>300.87940322040481</v>
      </c>
      <c r="AZ35" s="66">
        <f t="shared" si="82"/>
        <v>287.65724699772517</v>
      </c>
      <c r="BA35" s="66">
        <f t="shared" si="60"/>
        <v>346.91898585325868</v>
      </c>
      <c r="BB35" s="66">
        <f t="shared" si="94"/>
        <v>321.13423141688719</v>
      </c>
      <c r="BC35" s="68">
        <f t="shared" si="17"/>
        <v>620231.19999999995</v>
      </c>
      <c r="BD35" s="68">
        <f t="shared" si="18"/>
        <v>307.83299561490679</v>
      </c>
      <c r="BE35" s="68">
        <f t="shared" si="0"/>
        <v>12.787521648373854</v>
      </c>
      <c r="BF35" s="69">
        <f t="shared" si="19"/>
        <v>4.1471244035566013E-2</v>
      </c>
      <c r="BG35" s="70" t="str" cm="1">
        <f t="array" ref="BG35">_xlfn.IFS(BF35&gt;0%,"Incremento",BF35=0%,"Stazionarietà",BF35&lt;0%,"Diminuzione")</f>
        <v>Incremento</v>
      </c>
      <c r="BH35" s="95" t="s">
        <v>561</v>
      </c>
      <c r="BI35" s="72" t="s">
        <v>182</v>
      </c>
      <c r="BJ35" s="73">
        <v>22.865179999999999</v>
      </c>
      <c r="BK35" s="73">
        <v>21.701920000000001</v>
      </c>
      <c r="BL35" s="73">
        <v>26.17305</v>
      </c>
      <c r="BM35" s="74">
        <v>24.255579999999998</v>
      </c>
      <c r="BN35" s="74">
        <v>23.3889</v>
      </c>
      <c r="BO35" s="74">
        <v>21.211400000000001</v>
      </c>
      <c r="BP35" s="73">
        <v>20.34047</v>
      </c>
      <c r="BQ35" s="73">
        <v>22.49681</v>
      </c>
      <c r="BR35" s="73">
        <v>22.794090000000001</v>
      </c>
      <c r="BS35" s="62">
        <f t="shared" si="20"/>
        <v>0.10619951324638649</v>
      </c>
      <c r="BT35" s="62">
        <f t="shared" si="21"/>
        <v>9.9015047130642686E-2</v>
      </c>
      <c r="BU35" s="62">
        <f t="shared" si="22"/>
        <v>0.11690331208296353</v>
      </c>
      <c r="BV35" s="62">
        <f t="shared" si="23"/>
        <v>0.10542972942957816</v>
      </c>
      <c r="BW35" s="62">
        <f t="shared" si="24"/>
        <v>9.8473181300263321E-2</v>
      </c>
      <c r="BX35" s="62">
        <f t="shared" si="25"/>
        <v>0.10074790287441253</v>
      </c>
      <c r="BY35" s="62">
        <f t="shared" si="84"/>
        <v>8.8471830158888945E-2</v>
      </c>
      <c r="BZ35" s="62">
        <f t="shared" si="85"/>
        <v>0.10020672237465701</v>
      </c>
      <c r="CA35" s="62">
        <f t="shared" si="95"/>
        <v>0.10154264560446903</v>
      </c>
      <c r="CB35" s="62">
        <f t="shared" si="26"/>
        <v>205.22740000000002</v>
      </c>
      <c r="CC35" s="62">
        <f t="shared" si="87"/>
        <v>0.10188776491136239</v>
      </c>
      <c r="CD35" s="75">
        <f t="shared" si="27"/>
        <v>-4.6568676419174587E-3</v>
      </c>
      <c r="CE35" s="69">
        <f t="shared" si="89"/>
        <v>-4.3850178777311011E-2</v>
      </c>
      <c r="CF35" s="70" t="str" cm="1">
        <f t="array" ref="CF35">_xlfn.IFS(CE35&gt;0%,"Incremento",CE35=0%,"Stazionarietà",CE35&lt;0%,"Diminuzione")</f>
        <v>Diminuzione</v>
      </c>
      <c r="CG35" s="73" t="s">
        <v>151</v>
      </c>
      <c r="CH35" s="73" t="s">
        <v>151</v>
      </c>
      <c r="CI35" s="73" t="s">
        <v>151</v>
      </c>
      <c r="CJ35" s="74">
        <v>23.659400000000002</v>
      </c>
      <c r="CK35" s="74">
        <v>20.4693</v>
      </c>
      <c r="CL35" s="74">
        <v>19.1769</v>
      </c>
      <c r="CM35" s="73">
        <v>20.904499999999999</v>
      </c>
      <c r="CN35" s="73">
        <v>26.302800000000001</v>
      </c>
      <c r="CO35" s="73">
        <v>16.5579</v>
      </c>
      <c r="CP35" s="73" t="s">
        <v>151</v>
      </c>
      <c r="CQ35" s="73" t="s">
        <v>151</v>
      </c>
      <c r="CR35" s="73" t="s">
        <v>151</v>
      </c>
      <c r="CS35" s="73">
        <f t="shared" si="32"/>
        <v>0.10283836298559597</v>
      </c>
      <c r="CT35" s="73">
        <f t="shared" si="33"/>
        <v>8.618092727701944E-2</v>
      </c>
      <c r="CU35" s="73">
        <f t="shared" si="34"/>
        <v>9.1084627069986962E-2</v>
      </c>
      <c r="CV35" s="73">
        <f t="shared" si="90"/>
        <v>9.0925105150298585E-2</v>
      </c>
      <c r="CW35" s="73">
        <f t="shared" si="88"/>
        <v>0.11715960517407262</v>
      </c>
      <c r="CX35" s="73">
        <f t="shared" si="62"/>
        <v>7.3761794028813513E-2</v>
      </c>
      <c r="CY35" s="73">
        <f t="shared" si="35"/>
        <v>127.07080000000001</v>
      </c>
      <c r="CZ35" s="73">
        <f>(SUM(CP35:CX35))/6</f>
        <v>9.365840361429785E-2</v>
      </c>
      <c r="DA35" s="74">
        <f>CX35-CS35</f>
        <v>-2.9076568956782456E-2</v>
      </c>
      <c r="DB35" s="69">
        <f>(CX35/CS35)-1</f>
        <v>-0.28274048820531161</v>
      </c>
      <c r="DC35" s="70" t="str" cm="1">
        <f t="array" ref="DC35">_xlfn.IFS(DB35&gt;0%,"Incremento",DB35=0%,"Stazionarietà",DB35&lt;0%,"Diminuzione")</f>
        <v>Diminuzione</v>
      </c>
      <c r="DD35" s="73">
        <v>0.53690000000000004</v>
      </c>
      <c r="DE35" s="73">
        <v>0.75329999999999997</v>
      </c>
      <c r="DF35" s="73">
        <v>0.61280000000000001</v>
      </c>
      <c r="DG35" s="74">
        <v>1.7204999999999999</v>
      </c>
      <c r="DH35" s="74">
        <v>1.4224000000000001</v>
      </c>
      <c r="DI35" s="74">
        <v>1.1422000000000001</v>
      </c>
      <c r="DJ35" s="73">
        <v>0.74219999999999997</v>
      </c>
      <c r="DK35" s="73">
        <v>0.94599999999999995</v>
      </c>
      <c r="DL35" s="73">
        <v>0.75629999999999997</v>
      </c>
      <c r="DM35" s="73">
        <f t="shared" si="49"/>
        <v>2.493683350053877E-3</v>
      </c>
      <c r="DN35" s="73">
        <f t="shared" si="50"/>
        <v>3.436932538849702E-3</v>
      </c>
      <c r="DO35" s="73">
        <f t="shared" si="51"/>
        <v>2.7371036101807031E-3</v>
      </c>
      <c r="DP35" s="73">
        <f t="shared" si="52"/>
        <v>7.4783554746408552E-3</v>
      </c>
      <c r="DQ35" s="73">
        <f t="shared" si="53"/>
        <v>5.9886635575633982E-3</v>
      </c>
      <c r="DR35" s="73">
        <f t="shared" si="54"/>
        <v>5.4251136022683078E-3</v>
      </c>
      <c r="DS35" s="73">
        <f t="shared" ref="DS35:DS36" si="96">DJ35/AC35</f>
        <v>3.2282337794518699E-3</v>
      </c>
      <c r="DT35" s="73">
        <f t="shared" ref="DT35:DT36" si="97">DK35/AF35</f>
        <v>4.2137333855966925E-3</v>
      </c>
      <c r="DU35" s="73">
        <f t="shared" ref="DU35:DU36" si="98">DL35/AI35</f>
        <v>3.3691497607783389E-3</v>
      </c>
      <c r="DV35" s="73">
        <f t="shared" si="47"/>
        <v>8.6325999999999983</v>
      </c>
      <c r="DW35" s="73">
        <f t="shared" si="37"/>
        <v>4.2634410065981931E-3</v>
      </c>
      <c r="DX35" s="80">
        <f t="shared" si="48"/>
        <v>8.7546641072446191E-4</v>
      </c>
      <c r="DY35" s="70">
        <f>(DU35/DM35)-1</f>
        <v>0.35107360792441722</v>
      </c>
      <c r="DZ35" s="70" t="str" cm="1">
        <f t="array" ref="DZ35">_xlfn.IFS(DY35&gt;0%,"Incremento",DY35=0%,"Stazionarietà",DY35&lt;0%,"Diminuzione")</f>
        <v>Incremento</v>
      </c>
    </row>
    <row r="36" spans="1:130" x14ac:dyDescent="0.3">
      <c r="A36" s="88" t="s">
        <v>57</v>
      </c>
      <c r="B36" s="88" t="s">
        <v>58</v>
      </c>
      <c r="C36" s="88" t="s">
        <v>121</v>
      </c>
      <c r="D36" s="88">
        <v>2011000019</v>
      </c>
      <c r="E36" s="88" t="s">
        <v>89</v>
      </c>
      <c r="F36" s="48">
        <v>758</v>
      </c>
      <c r="G36" s="61">
        <v>348</v>
      </c>
      <c r="H36" s="61">
        <v>1044</v>
      </c>
      <c r="I36" s="62">
        <v>0</v>
      </c>
      <c r="J36" s="62">
        <v>6540.5820000000003</v>
      </c>
      <c r="K36" s="62">
        <f t="shared" si="3"/>
        <v>6540.5820000000003</v>
      </c>
      <c r="L36" s="62">
        <v>0</v>
      </c>
      <c r="M36" s="62">
        <v>4831.5749999999998</v>
      </c>
      <c r="N36" s="62">
        <f t="shared" si="4"/>
        <v>4831.5749999999998</v>
      </c>
      <c r="O36" s="62">
        <v>0</v>
      </c>
      <c r="P36" s="62">
        <v>3621.8240000000001</v>
      </c>
      <c r="Q36" s="62">
        <f t="shared" si="5"/>
        <v>3621.8240000000001</v>
      </c>
      <c r="R36" s="62">
        <v>0</v>
      </c>
      <c r="S36" s="62">
        <v>4146.2269999999999</v>
      </c>
      <c r="T36" s="62">
        <f t="shared" si="6"/>
        <v>4146.2269999999999</v>
      </c>
      <c r="U36" s="62">
        <v>0</v>
      </c>
      <c r="V36" s="62">
        <v>3050.2669999999998</v>
      </c>
      <c r="W36" s="62">
        <f t="shared" si="7"/>
        <v>3050.2669999999998</v>
      </c>
      <c r="X36" s="62">
        <v>0</v>
      </c>
      <c r="Y36" s="62">
        <v>3766.7930000000001</v>
      </c>
      <c r="Z36" s="62">
        <f t="shared" si="8"/>
        <v>3766.7930000000001</v>
      </c>
      <c r="AA36" s="62">
        <v>0</v>
      </c>
      <c r="AB36" s="62">
        <v>3548.0149999999999</v>
      </c>
      <c r="AC36" s="62">
        <f t="shared" si="9"/>
        <v>3548.0149999999999</v>
      </c>
      <c r="AD36" s="63">
        <v>0</v>
      </c>
      <c r="AE36" s="62">
        <v>3437.71</v>
      </c>
      <c r="AF36" s="62">
        <f t="shared" si="38"/>
        <v>3437.71</v>
      </c>
      <c r="AG36" s="63">
        <v>0</v>
      </c>
      <c r="AH36" s="62">
        <v>3308.5039999999999</v>
      </c>
      <c r="AI36" s="62">
        <f t="shared" si="10"/>
        <v>3308.5039999999999</v>
      </c>
      <c r="AJ36" s="64" t="s">
        <v>562</v>
      </c>
      <c r="AK36" s="65">
        <f>4014320+4629491</f>
        <v>8643811</v>
      </c>
      <c r="AL36" s="65">
        <f>3783966+3700509</f>
        <v>7484475</v>
      </c>
      <c r="AM36" s="65">
        <f>3005466+2658143</f>
        <v>5663609</v>
      </c>
      <c r="AN36" s="79">
        <v>6622697</v>
      </c>
      <c r="AO36" s="79">
        <v>4804005.5</v>
      </c>
      <c r="AP36" s="79">
        <v>5998650</v>
      </c>
      <c r="AQ36" s="65">
        <f>2373724+2595041</f>
        <v>4968765</v>
      </c>
      <c r="AR36" s="65">
        <f>2123279+2570395</f>
        <v>4693674</v>
      </c>
      <c r="AS36" s="65">
        <f>2485629+1866048</f>
        <v>4351677</v>
      </c>
      <c r="AT36" s="66">
        <f t="shared" si="11"/>
        <v>1321.5660318913515</v>
      </c>
      <c r="AU36" s="66">
        <f t="shared" si="12"/>
        <v>1549.0756119898792</v>
      </c>
      <c r="AV36" s="66">
        <f t="shared" si="13"/>
        <v>1563.7449528193529</v>
      </c>
      <c r="AW36" s="66">
        <f t="shared" si="14"/>
        <v>1597.2827826358759</v>
      </c>
      <c r="AX36" s="66">
        <f t="shared" si="15"/>
        <v>1574.9458981787498</v>
      </c>
      <c r="AY36" s="66">
        <f t="shared" si="16"/>
        <v>1592.5085344482693</v>
      </c>
      <c r="AZ36" s="66">
        <f t="shared" si="82"/>
        <v>1400.4351729065409</v>
      </c>
      <c r="BA36" s="66">
        <f t="shared" si="60"/>
        <v>1365.3490259504147</v>
      </c>
      <c r="BB36" s="66">
        <f t="shared" si="94"/>
        <v>1315.3005104421818</v>
      </c>
      <c r="BC36" s="68">
        <f t="shared" si="17"/>
        <v>53231363.5</v>
      </c>
      <c r="BD36" s="68">
        <f t="shared" si="18"/>
        <v>1475.578724584735</v>
      </c>
      <c r="BE36" s="68">
        <f t="shared" si="0"/>
        <v>-6.2655214491696825</v>
      </c>
      <c r="BF36" s="69">
        <f t="shared" si="19"/>
        <v>-4.7409825146631501E-3</v>
      </c>
      <c r="BG36" s="70" t="str" cm="1">
        <f t="array" ref="BG36">_xlfn.IFS(BF36&gt;0%,"Incremento",BF36=0%,"Stazionarietà",BF36&lt;0%,"Diminuzione")</f>
        <v>Diminuzione</v>
      </c>
      <c r="BH36" s="85" t="s">
        <v>183</v>
      </c>
      <c r="BI36" s="71" t="s">
        <v>181</v>
      </c>
      <c r="BJ36" s="73">
        <v>2754.8</v>
      </c>
      <c r="BK36" s="73">
        <v>2148.4</v>
      </c>
      <c r="BL36" s="73">
        <v>1590.2</v>
      </c>
      <c r="BM36" s="96">
        <v>2558</v>
      </c>
      <c r="BN36" s="96">
        <v>1681.2</v>
      </c>
      <c r="BO36" s="96">
        <v>1759.2</v>
      </c>
      <c r="BP36" s="73">
        <v>1891.3000000000002</v>
      </c>
      <c r="BQ36" s="73">
        <v>2024.5</v>
      </c>
      <c r="BR36" s="73">
        <v>1485.6999999999998</v>
      </c>
      <c r="BS36" s="62">
        <f t="shared" si="20"/>
        <v>0.42118575992167057</v>
      </c>
      <c r="BT36" s="62">
        <f t="shared" si="21"/>
        <v>0.44465831535265421</v>
      </c>
      <c r="BU36" s="62">
        <f t="shared" si="22"/>
        <v>0.43906053966178366</v>
      </c>
      <c r="BV36" s="62">
        <f t="shared" si="23"/>
        <v>0.61694644311563263</v>
      </c>
      <c r="BW36" s="62">
        <f t="shared" si="24"/>
        <v>0.5511648652396659</v>
      </c>
      <c r="BX36" s="62">
        <f t="shared" si="25"/>
        <v>0.46702858373157219</v>
      </c>
      <c r="BY36" s="62">
        <f t="shared" si="84"/>
        <v>0.53305862573861729</v>
      </c>
      <c r="BZ36" s="62">
        <f t="shared" si="85"/>
        <v>0.58890947753009992</v>
      </c>
      <c r="CA36" s="62">
        <f t="shared" si="95"/>
        <v>0.44905492029025801</v>
      </c>
      <c r="CB36" s="62">
        <f t="shared" si="26"/>
        <v>17893.300000000003</v>
      </c>
      <c r="CC36" s="62">
        <f t="shared" si="87"/>
        <v>0.50122972562021717</v>
      </c>
      <c r="CD36" s="75">
        <f t="shared" si="27"/>
        <v>2.7869160368587442E-2</v>
      </c>
      <c r="CE36" s="69">
        <f t="shared" si="89"/>
        <v>6.6168334783612837E-2</v>
      </c>
      <c r="CF36" s="70" t="str" cm="1">
        <f t="array" ref="CF36">_xlfn.IFS(CE36&gt;0%,"Incremento",CE36=0%,"Stazionarietà",CE36&lt;0%,"Diminuzione")</f>
        <v>Incremento</v>
      </c>
      <c r="CG36" s="73">
        <v>367.7</v>
      </c>
      <c r="CH36" s="73">
        <v>245.8</v>
      </c>
      <c r="CI36" s="73">
        <v>157.69999999999999</v>
      </c>
      <c r="CJ36" s="74">
        <v>182</v>
      </c>
      <c r="CK36" s="74">
        <v>113.3</v>
      </c>
      <c r="CL36" s="74">
        <v>196.2</v>
      </c>
      <c r="CM36" s="73">
        <v>124.5</v>
      </c>
      <c r="CN36" s="73">
        <v>176.20000000000002</v>
      </c>
      <c r="CO36" s="73">
        <v>118.19999999999999</v>
      </c>
      <c r="CP36" s="73">
        <f t="shared" si="29"/>
        <v>5.6218238682734956E-2</v>
      </c>
      <c r="CQ36" s="73">
        <f t="shared" si="30"/>
        <v>5.087367990769056E-2</v>
      </c>
      <c r="CR36" s="73">
        <f t="shared" si="31"/>
        <v>4.354159672032655E-2</v>
      </c>
      <c r="CS36" s="73">
        <f t="shared" si="32"/>
        <v>4.3895329416358535E-2</v>
      </c>
      <c r="CT36" s="73">
        <f t="shared" si="33"/>
        <v>3.7144289335982718E-2</v>
      </c>
      <c r="CU36" s="73">
        <f t="shared" si="34"/>
        <v>5.2086748594892256E-2</v>
      </c>
      <c r="CV36" s="73">
        <f t="shared" si="90"/>
        <v>3.5090043305904851E-2</v>
      </c>
      <c r="CW36" s="73">
        <f t="shared" si="88"/>
        <v>5.1255050600545138E-2</v>
      </c>
      <c r="CX36" s="73">
        <f t="shared" si="62"/>
        <v>3.5726116698060507E-2</v>
      </c>
      <c r="CY36" s="73">
        <f t="shared" si="35"/>
        <v>1681.6000000000001</v>
      </c>
      <c r="CZ36" s="73">
        <f>(SUM(CP36:CX36))/9</f>
        <v>4.5092343695832898E-2</v>
      </c>
      <c r="DA36" s="74">
        <f t="shared" si="36"/>
        <v>-2.0492121984674448E-2</v>
      </c>
      <c r="DB36" s="69">
        <f>(CX36/CP36)-1</f>
        <v>-0.3645102099395322</v>
      </c>
      <c r="DC36" s="70" t="str" cm="1">
        <f t="array" ref="DC36">_xlfn.IFS(DB36&gt;0%,"Incremento",DB36=0%,"Stazionarietà",DB36&lt;0%,"Diminuzione")</f>
        <v>Diminuzione</v>
      </c>
      <c r="DD36" s="73">
        <v>1669.9</v>
      </c>
      <c r="DE36" s="73">
        <v>1940.9</v>
      </c>
      <c r="DF36" s="73">
        <v>1048.5999999999999</v>
      </c>
      <c r="DG36" s="74">
        <v>1515</v>
      </c>
      <c r="DH36" s="74">
        <v>1064</v>
      </c>
      <c r="DI36" s="74">
        <v>1391</v>
      </c>
      <c r="DJ36" s="73">
        <v>975.09999999999991</v>
      </c>
      <c r="DK36" s="73">
        <v>1137.5</v>
      </c>
      <c r="DL36" s="73">
        <v>972.4</v>
      </c>
      <c r="DM36" s="73">
        <f t="shared" si="49"/>
        <v>0.25531367086292933</v>
      </c>
      <c r="DN36" s="73">
        <f t="shared" si="50"/>
        <v>0.40171165717183321</v>
      </c>
      <c r="DO36" s="73">
        <f t="shared" si="51"/>
        <v>0.28952262727288791</v>
      </c>
      <c r="DP36" s="73">
        <f t="shared" si="52"/>
        <v>0.36539243992188564</v>
      </c>
      <c r="DQ36" s="73">
        <f t="shared" si="53"/>
        <v>0.34882192280216784</v>
      </c>
      <c r="DR36" s="73">
        <f t="shared" si="54"/>
        <v>0.36927964982413419</v>
      </c>
      <c r="DS36" s="73">
        <f t="shared" si="96"/>
        <v>0.27482972873564515</v>
      </c>
      <c r="DT36" s="73">
        <f t="shared" si="97"/>
        <v>0.33088887660681093</v>
      </c>
      <c r="DU36" s="73">
        <f t="shared" si="98"/>
        <v>0.29390927138066025</v>
      </c>
      <c r="DV36" s="73">
        <f t="shared" si="47"/>
        <v>11714.4</v>
      </c>
      <c r="DW36" s="73">
        <f>(SUM(DM36:DU36))/9</f>
        <v>0.3255188716198838</v>
      </c>
      <c r="DX36" s="80">
        <f t="shared" si="48"/>
        <v>3.8595600517730921E-2</v>
      </c>
      <c r="DY36" s="70">
        <f>(DU36/DM36)-1</f>
        <v>0.15116934548503602</v>
      </c>
      <c r="DZ36" s="70" t="str" cm="1">
        <f t="array" ref="DZ36">_xlfn.IFS(DY36&gt;0%,"Incremento",DY36=0%,"Stazionarietà",DY36&lt;0%,"Diminuzione")</f>
        <v>Incremento</v>
      </c>
    </row>
    <row r="37" spans="1:130" x14ac:dyDescent="0.3">
      <c r="A37" s="88" t="s">
        <v>59</v>
      </c>
      <c r="B37" s="88" t="s">
        <v>60</v>
      </c>
      <c r="C37" s="88" t="s">
        <v>122</v>
      </c>
      <c r="D37" s="88">
        <v>2007001108</v>
      </c>
      <c r="E37" s="88" t="s">
        <v>89</v>
      </c>
      <c r="F37" s="48">
        <v>52</v>
      </c>
      <c r="G37" s="61">
        <v>190</v>
      </c>
      <c r="H37" s="61">
        <v>104</v>
      </c>
      <c r="I37" s="62">
        <f>(0.25*636505)/1000</f>
        <v>159.12625</v>
      </c>
      <c r="J37" s="62">
        <v>688.83</v>
      </c>
      <c r="K37" s="62">
        <f t="shared" si="3"/>
        <v>847.95625000000007</v>
      </c>
      <c r="L37" s="62">
        <f>(0.25*618508)/1000</f>
        <v>154.62700000000001</v>
      </c>
      <c r="M37" s="62">
        <v>552.20500000000004</v>
      </c>
      <c r="N37" s="62">
        <f t="shared" si="4"/>
        <v>706.83200000000011</v>
      </c>
      <c r="O37" s="62">
        <f>(0.25*641139)/1000</f>
        <v>160.28475</v>
      </c>
      <c r="P37" s="62">
        <v>622.47400000000005</v>
      </c>
      <c r="Q37" s="62">
        <f t="shared" si="5"/>
        <v>782.75875000000008</v>
      </c>
      <c r="R37" s="62">
        <v>532.08299999999997</v>
      </c>
      <c r="S37" s="62">
        <v>569</v>
      </c>
      <c r="T37" s="62">
        <f t="shared" si="6"/>
        <v>1101.0830000000001</v>
      </c>
      <c r="U37" s="62">
        <v>515.97500000000002</v>
      </c>
      <c r="V37" s="62">
        <v>602.31500000000005</v>
      </c>
      <c r="W37" s="62">
        <f t="shared" si="7"/>
        <v>1118.29</v>
      </c>
      <c r="X37" s="62">
        <v>489.38</v>
      </c>
      <c r="Y37" s="62">
        <v>470.858</v>
      </c>
      <c r="Z37" s="62">
        <f t="shared" si="8"/>
        <v>960.23800000000006</v>
      </c>
      <c r="AA37" s="63">
        <v>487.85599999999999</v>
      </c>
      <c r="AB37" s="62">
        <v>646.13800000000003</v>
      </c>
      <c r="AC37" s="62">
        <f t="shared" si="9"/>
        <v>1133.9940000000001</v>
      </c>
      <c r="AD37" s="63">
        <v>486.33600000000001</v>
      </c>
      <c r="AE37" s="62">
        <v>625.92600000000004</v>
      </c>
      <c r="AF37" s="62">
        <f t="shared" si="38"/>
        <v>1112.2620000000002</v>
      </c>
      <c r="AG37" s="63">
        <v>474.06599999999997</v>
      </c>
      <c r="AH37" s="62">
        <v>579.14700000000005</v>
      </c>
      <c r="AI37" s="62">
        <f t="shared" si="10"/>
        <v>1053.213</v>
      </c>
      <c r="AJ37" s="64" t="s">
        <v>563</v>
      </c>
      <c r="AK37" s="65">
        <v>335529</v>
      </c>
      <c r="AL37" s="65">
        <v>289374</v>
      </c>
      <c r="AM37" s="65">
        <v>312471</v>
      </c>
      <c r="AN37" s="79">
        <v>297644</v>
      </c>
      <c r="AO37" s="79">
        <v>304196</v>
      </c>
      <c r="AP37" s="79">
        <v>250647</v>
      </c>
      <c r="AQ37" s="65">
        <v>321088</v>
      </c>
      <c r="AR37" s="65">
        <v>316040</v>
      </c>
      <c r="AS37" s="65">
        <v>296297</v>
      </c>
      <c r="AT37" s="66">
        <f t="shared" si="11"/>
        <v>395.69140506954216</v>
      </c>
      <c r="AU37" s="66">
        <f t="shared" si="12"/>
        <v>409.39572628290733</v>
      </c>
      <c r="AV37" s="66">
        <f t="shared" si="13"/>
        <v>399.19196048590959</v>
      </c>
      <c r="AW37" s="66">
        <f t="shared" si="14"/>
        <v>270.3193128946682</v>
      </c>
      <c r="AX37" s="66">
        <f t="shared" si="15"/>
        <v>272.01888597769812</v>
      </c>
      <c r="AY37" s="66">
        <f t="shared" si="16"/>
        <v>261.02591232590254</v>
      </c>
      <c r="AZ37" s="66">
        <f t="shared" si="82"/>
        <v>283.14788261666286</v>
      </c>
      <c r="BA37" s="66">
        <f t="shared" si="60"/>
        <v>284.14168604159806</v>
      </c>
      <c r="BB37" s="66">
        <f t="shared" si="94"/>
        <v>281.32675916457544</v>
      </c>
      <c r="BC37" s="68">
        <f t="shared" si="17"/>
        <v>2723286</v>
      </c>
      <c r="BD37" s="68">
        <f t="shared" si="18"/>
        <v>317.36217009549603</v>
      </c>
      <c r="BE37" s="68">
        <f t="shared" si="0"/>
        <v>-114.36464590496672</v>
      </c>
      <c r="BF37" s="69">
        <f t="shared" si="19"/>
        <v>-0.28902484218697477</v>
      </c>
      <c r="BG37" s="70" t="str" cm="1">
        <f t="array" ref="BG37">_xlfn.IFS(BF37&gt;0%,"Incremento",BF37=0%,"Stazionarietà",BF37&lt;0%,"Diminuzione")</f>
        <v>Diminuzione</v>
      </c>
      <c r="BH37" s="97" t="s">
        <v>165</v>
      </c>
      <c r="BI37" s="72" t="s">
        <v>182</v>
      </c>
      <c r="BJ37" s="73">
        <v>101.68</v>
      </c>
      <c r="BK37" s="73">
        <v>84.51</v>
      </c>
      <c r="BL37" s="73">
        <v>95</v>
      </c>
      <c r="BM37" s="74">
        <v>71</v>
      </c>
      <c r="BN37" s="74">
        <v>88</v>
      </c>
      <c r="BO37" s="74">
        <v>69</v>
      </c>
      <c r="BP37" s="73">
        <v>122</v>
      </c>
      <c r="BQ37" s="73">
        <v>74</v>
      </c>
      <c r="BR37" s="73">
        <v>45</v>
      </c>
      <c r="BS37" s="62">
        <f t="shared" si="20"/>
        <v>0.11991184686709958</v>
      </c>
      <c r="BT37" s="62">
        <f t="shared" si="21"/>
        <v>0.11956164972723361</v>
      </c>
      <c r="BU37" s="62">
        <f t="shared" si="22"/>
        <v>0.12136561871713346</v>
      </c>
      <c r="BV37" s="62">
        <f t="shared" si="23"/>
        <v>6.4481969115861376E-2</v>
      </c>
      <c r="BW37" s="62">
        <f t="shared" si="24"/>
        <v>7.8691573742052601E-2</v>
      </c>
      <c r="BX37" s="62">
        <f t="shared" si="25"/>
        <v>7.185718540611806E-2</v>
      </c>
      <c r="BY37" s="62">
        <f t="shared" si="84"/>
        <v>0.10758434347977149</v>
      </c>
      <c r="BZ37" s="62">
        <f t="shared" si="85"/>
        <v>6.6531087099981831E-2</v>
      </c>
      <c r="CA37" s="62">
        <f t="shared" si="95"/>
        <v>4.2726400072919724E-2</v>
      </c>
      <c r="CB37" s="62">
        <f>SUM(BJ37:BR37)</f>
        <v>750.19</v>
      </c>
      <c r="CC37" s="62">
        <f t="shared" si="87"/>
        <v>8.8079074914241315E-2</v>
      </c>
      <c r="CD37" s="75">
        <f t="shared" si="27"/>
        <v>-7.7185446794179852E-2</v>
      </c>
      <c r="CE37" s="69">
        <f t="shared" si="89"/>
        <v>-0.64368491363264424</v>
      </c>
      <c r="CF37" s="70" t="str" cm="1">
        <f t="array" ref="CF37">_xlfn.IFS(CE37&gt;0%,"Incremento",CE37=0%,"Stazionarietà",CE37&lt;0%,"Diminuzione")</f>
        <v>Diminuzione</v>
      </c>
      <c r="CG37" s="73">
        <v>10.61</v>
      </c>
      <c r="CH37" s="73">
        <v>21.16</v>
      </c>
      <c r="CI37" s="73">
        <v>19.78</v>
      </c>
      <c r="CJ37" s="74">
        <v>8</v>
      </c>
      <c r="CK37" s="74">
        <v>10</v>
      </c>
      <c r="CL37" s="74">
        <v>7</v>
      </c>
      <c r="CM37" s="73">
        <v>3</v>
      </c>
      <c r="CN37" s="73">
        <v>5</v>
      </c>
      <c r="CO37" s="73">
        <v>3</v>
      </c>
      <c r="CP37" s="73">
        <f t="shared" si="29"/>
        <v>1.2512437994295104E-2</v>
      </c>
      <c r="CQ37" s="73">
        <f t="shared" si="30"/>
        <v>2.9936392240306038E-2</v>
      </c>
      <c r="CR37" s="73">
        <f t="shared" si="31"/>
        <v>2.5269599349735789E-2</v>
      </c>
      <c r="CS37" s="73">
        <f t="shared" si="32"/>
        <v>7.2655739848857892E-3</v>
      </c>
      <c r="CT37" s="73">
        <f t="shared" si="33"/>
        <v>8.9422242888696143E-3</v>
      </c>
      <c r="CU37" s="73">
        <f t="shared" si="34"/>
        <v>7.28985938902647E-3</v>
      </c>
      <c r="CV37" s="73">
        <f t="shared" si="90"/>
        <v>2.6455166429452007E-3</v>
      </c>
      <c r="CW37" s="73">
        <f t="shared" si="88"/>
        <v>4.4953437229717456E-3</v>
      </c>
      <c r="CX37" s="73">
        <f t="shared" si="62"/>
        <v>2.8484266715279815E-3</v>
      </c>
      <c r="CY37" s="73">
        <f t="shared" si="35"/>
        <v>87.55</v>
      </c>
      <c r="CZ37" s="73">
        <f>(SUM(CP37:CX37))/9</f>
        <v>1.124504158717375E-2</v>
      </c>
      <c r="DA37" s="74">
        <f t="shared" si="36"/>
        <v>-9.6640113227671222E-3</v>
      </c>
      <c r="DB37" s="69">
        <f>(CX37/CP37)-1</f>
        <v>-0.77235238465703593</v>
      </c>
      <c r="DC37" s="70" t="str" cm="1">
        <f t="array" ref="DC37">_xlfn.IFS(DB37&gt;0%,"Incremento",DB37=0%,"Stazionarietà",DB37&lt;0%,"Diminuzione")</f>
        <v>Diminuzione</v>
      </c>
      <c r="DD37" s="73" t="s">
        <v>151</v>
      </c>
      <c r="DE37" s="73" t="s">
        <v>151</v>
      </c>
      <c r="DF37" s="73" t="s">
        <v>151</v>
      </c>
      <c r="DG37" s="74" t="s">
        <v>151</v>
      </c>
      <c r="DH37" s="74" t="s">
        <v>151</v>
      </c>
      <c r="DI37" s="74" t="s">
        <v>151</v>
      </c>
      <c r="DJ37" s="73" t="s">
        <v>151</v>
      </c>
      <c r="DK37" s="73" t="s">
        <v>151</v>
      </c>
      <c r="DL37" s="73" t="s">
        <v>151</v>
      </c>
      <c r="DM37" s="73" t="s">
        <v>151</v>
      </c>
      <c r="DN37" s="73" t="s">
        <v>151</v>
      </c>
      <c r="DO37" s="73" t="s">
        <v>151</v>
      </c>
      <c r="DP37" s="73" t="s">
        <v>151</v>
      </c>
      <c r="DQ37" s="73" t="s">
        <v>151</v>
      </c>
      <c r="DR37" s="73" t="s">
        <v>151</v>
      </c>
      <c r="DS37" s="73" t="s">
        <v>151</v>
      </c>
      <c r="DT37" s="73" t="s">
        <v>151</v>
      </c>
      <c r="DU37" s="73" t="s">
        <v>151</v>
      </c>
      <c r="DV37" s="73">
        <f t="shared" si="47"/>
        <v>0</v>
      </c>
      <c r="DW37" s="73">
        <f t="shared" si="37"/>
        <v>0</v>
      </c>
      <c r="DX37" s="74" t="s">
        <v>151</v>
      </c>
      <c r="DY37" s="70" t="s">
        <v>151</v>
      </c>
      <c r="DZ37" s="70" t="s">
        <v>151</v>
      </c>
    </row>
    <row r="38" spans="1:130" x14ac:dyDescent="0.3">
      <c r="A38" s="88" t="s">
        <v>61</v>
      </c>
      <c r="B38" s="88" t="s">
        <v>62</v>
      </c>
      <c r="C38" s="88" t="s">
        <v>123</v>
      </c>
      <c r="D38" s="94">
        <v>2010000192</v>
      </c>
      <c r="E38" s="88" t="s">
        <v>89</v>
      </c>
      <c r="F38" s="48">
        <v>1621</v>
      </c>
      <c r="G38" s="61">
        <v>714.6</v>
      </c>
      <c r="H38" s="61" t="s">
        <v>151</v>
      </c>
      <c r="I38" s="62">
        <v>0</v>
      </c>
      <c r="J38" s="62">
        <v>1624.6669999999999</v>
      </c>
      <c r="K38" s="62">
        <f t="shared" si="3"/>
        <v>1624.6669999999999</v>
      </c>
      <c r="L38" s="62">
        <v>0</v>
      </c>
      <c r="M38" s="62">
        <v>1052.4780000000001</v>
      </c>
      <c r="N38" s="62">
        <f t="shared" si="4"/>
        <v>1052.4780000000001</v>
      </c>
      <c r="O38" s="62">
        <v>0</v>
      </c>
      <c r="P38" s="62">
        <v>1258.0432000000001</v>
      </c>
      <c r="Q38" s="62">
        <f t="shared" si="5"/>
        <v>1258.0432000000001</v>
      </c>
      <c r="R38" s="62">
        <v>0</v>
      </c>
      <c r="S38" s="62">
        <v>1227.461</v>
      </c>
      <c r="T38" s="62">
        <f t="shared" si="6"/>
        <v>1227.461</v>
      </c>
      <c r="U38" s="62">
        <v>0</v>
      </c>
      <c r="V38" s="62">
        <v>1485.3140000000001</v>
      </c>
      <c r="W38" s="62">
        <f t="shared" si="7"/>
        <v>1485.3140000000001</v>
      </c>
      <c r="X38" s="62">
        <v>0</v>
      </c>
      <c r="Y38" s="62">
        <v>1528.39</v>
      </c>
      <c r="Z38" s="62">
        <f t="shared" si="8"/>
        <v>1528.39</v>
      </c>
      <c r="AA38" s="63">
        <v>0</v>
      </c>
      <c r="AB38" s="62">
        <v>1909.15</v>
      </c>
      <c r="AC38" s="62">
        <f t="shared" si="9"/>
        <v>1909.15</v>
      </c>
      <c r="AD38" s="63">
        <v>0</v>
      </c>
      <c r="AE38" s="62">
        <v>1656.77</v>
      </c>
      <c r="AF38" s="62">
        <f t="shared" si="38"/>
        <v>1656.77</v>
      </c>
      <c r="AG38" s="63">
        <v>0</v>
      </c>
      <c r="AH38" s="62">
        <v>1297.9280000000001</v>
      </c>
      <c r="AI38" s="62">
        <f t="shared" si="10"/>
        <v>1297.9280000000001</v>
      </c>
      <c r="AJ38" s="64" t="s">
        <v>537</v>
      </c>
      <c r="AK38" s="65">
        <v>594462</v>
      </c>
      <c r="AL38" s="65">
        <v>395985</v>
      </c>
      <c r="AM38" s="65">
        <v>471994</v>
      </c>
      <c r="AN38" s="79">
        <v>467279</v>
      </c>
      <c r="AO38" s="79">
        <v>565732</v>
      </c>
      <c r="AP38" s="79">
        <v>569479</v>
      </c>
      <c r="AQ38" s="65">
        <v>709308</v>
      </c>
      <c r="AR38" s="65">
        <v>636518</v>
      </c>
      <c r="AS38" s="65">
        <v>499051</v>
      </c>
      <c r="AT38" s="66">
        <f t="shared" si="11"/>
        <v>365.89775012356381</v>
      </c>
      <c r="AU38" s="66">
        <f t="shared" si="12"/>
        <v>376.24064350988806</v>
      </c>
      <c r="AV38" s="66">
        <f t="shared" si="13"/>
        <v>375.18107486292996</v>
      </c>
      <c r="AW38" s="66">
        <f t="shared" si="14"/>
        <v>380.68745157687289</v>
      </c>
      <c r="AX38" s="66">
        <f t="shared" si="15"/>
        <v>380.88377272415124</v>
      </c>
      <c r="AY38" s="66">
        <f t="shared" si="16"/>
        <v>372.60057969497313</v>
      </c>
      <c r="AZ38" s="66">
        <f t="shared" si="82"/>
        <v>371.53078595186338</v>
      </c>
      <c r="BA38" s="66">
        <f t="shared" si="60"/>
        <v>384.19213288507154</v>
      </c>
      <c r="BB38" s="66">
        <f t="shared" si="94"/>
        <v>384.49821561750724</v>
      </c>
      <c r="BC38" s="68">
        <f t="shared" si="17"/>
        <v>4909808</v>
      </c>
      <c r="BD38" s="68">
        <f t="shared" si="18"/>
        <v>376.85693410520241</v>
      </c>
      <c r="BE38" s="68">
        <f t="shared" si="0"/>
        <v>18.600465493943432</v>
      </c>
      <c r="BF38" s="69">
        <f t="shared" si="19"/>
        <v>5.0835145850615548E-2</v>
      </c>
      <c r="BG38" s="70" t="str" cm="1">
        <f t="array" ref="BG38">_xlfn.IFS(BF38&gt;0%,"Incremento",BF38=0%,"Stazionarietà",BF38&lt;0%,"Diminuzione")</f>
        <v>Incremento</v>
      </c>
      <c r="BH38" s="91" t="s">
        <v>166</v>
      </c>
      <c r="BI38" s="72" t="s">
        <v>180</v>
      </c>
      <c r="BJ38" s="73">
        <v>135</v>
      </c>
      <c r="BK38" s="73">
        <v>87.05</v>
      </c>
      <c r="BL38" s="73">
        <v>101.93</v>
      </c>
      <c r="BM38" s="74">
        <v>101.68</v>
      </c>
      <c r="BN38" s="74">
        <v>118.93</v>
      </c>
      <c r="BO38" s="74">
        <v>110.03</v>
      </c>
      <c r="BP38" s="73">
        <v>189.98</v>
      </c>
      <c r="BQ38" s="73">
        <v>174.57</v>
      </c>
      <c r="BR38" s="73">
        <v>127.91</v>
      </c>
      <c r="BS38" s="62">
        <f t="shared" si="20"/>
        <v>8.3093950945024433E-2</v>
      </c>
      <c r="BT38" s="62">
        <f t="shared" si="21"/>
        <v>8.270956732587284E-2</v>
      </c>
      <c r="BU38" s="62">
        <f t="shared" si="22"/>
        <v>8.1022654865906041E-2</v>
      </c>
      <c r="BV38" s="62">
        <f t="shared" si="23"/>
        <v>8.2837662459336797E-2</v>
      </c>
      <c r="BW38" s="62">
        <f t="shared" si="24"/>
        <v>8.0070611332014652E-2</v>
      </c>
      <c r="BX38" s="62">
        <f t="shared" si="25"/>
        <v>7.1990787691623204E-2</v>
      </c>
      <c r="BY38" s="62">
        <f t="shared" si="84"/>
        <v>9.9510253254065942E-2</v>
      </c>
      <c r="BZ38" s="62">
        <f t="shared" si="85"/>
        <v>0.10536767324372122</v>
      </c>
      <c r="CA38" s="62">
        <f t="shared" si="95"/>
        <v>9.8549380242971871E-2</v>
      </c>
      <c r="CB38" s="62">
        <f t="shared" si="26"/>
        <v>1147.0800000000002</v>
      </c>
      <c r="CC38" s="62">
        <f t="shared" si="87"/>
        <v>8.7239171262281895E-2</v>
      </c>
      <c r="CD38" s="75">
        <f t="shared" si="27"/>
        <v>1.5455429297947437E-2</v>
      </c>
      <c r="CE38" s="69">
        <f t="shared" si="89"/>
        <v>0.1859994514904324</v>
      </c>
      <c r="CF38" s="70" t="str" cm="1">
        <f t="array" ref="CF38">_xlfn.IFS(CE38&gt;0%,"Incremento",CE38=0%,"Stazionarietà",CE38&lt;0%,"Diminuzione")</f>
        <v>Incremento</v>
      </c>
      <c r="CG38" s="73">
        <v>71.930000000000007</v>
      </c>
      <c r="CH38" s="73">
        <v>99.34</v>
      </c>
      <c r="CI38" s="73">
        <v>92.79</v>
      </c>
      <c r="CJ38" s="74">
        <v>131.81</v>
      </c>
      <c r="CK38" s="74">
        <v>102.03</v>
      </c>
      <c r="CL38" s="74">
        <v>95.47</v>
      </c>
      <c r="CM38" s="73">
        <v>162.18</v>
      </c>
      <c r="CN38" s="73">
        <v>150.6</v>
      </c>
      <c r="CO38" s="73">
        <v>26.86</v>
      </c>
      <c r="CP38" s="73">
        <f t="shared" si="29"/>
        <v>4.4273688085004502E-2</v>
      </c>
      <c r="CQ38" s="73">
        <f t="shared" si="30"/>
        <v>9.4386771029893263E-2</v>
      </c>
      <c r="CR38" s="73">
        <f t="shared" si="31"/>
        <v>7.3757403561340348E-2</v>
      </c>
      <c r="CS38" s="73">
        <f t="shared" si="32"/>
        <v>0.10738426719871344</v>
      </c>
      <c r="CT38" s="73">
        <f t="shared" si="33"/>
        <v>6.8692545818594589E-2</v>
      </c>
      <c r="CU38" s="73">
        <f t="shared" si="34"/>
        <v>6.2464423347444037E-2</v>
      </c>
      <c r="CV38" s="73">
        <f t="shared" si="90"/>
        <v>8.4948799203834163E-2</v>
      </c>
      <c r="CW38" s="73">
        <f t="shared" si="88"/>
        <v>9.089976279145566E-2</v>
      </c>
      <c r="CX38" s="73">
        <f t="shared" si="62"/>
        <v>2.069452234638593E-2</v>
      </c>
      <c r="CY38" s="73">
        <f t="shared" si="35"/>
        <v>933.01</v>
      </c>
      <c r="CZ38" s="73">
        <f>(SUM(CP38:CX38))/9</f>
        <v>7.1944687042518427E-2</v>
      </c>
      <c r="DA38" s="74">
        <f t="shared" si="36"/>
        <v>-2.3579165738618572E-2</v>
      </c>
      <c r="DB38" s="69">
        <f>(CX38/CP38)-1</f>
        <v>-0.53257740112698748</v>
      </c>
      <c r="DC38" s="70" t="str" cm="1">
        <f t="array" ref="DC38">_xlfn.IFS(DB38&gt;0%,"Incremento",DB38=0%,"Stazionarietà",DB38&lt;0%,"Diminuzione")</f>
        <v>Diminuzione</v>
      </c>
      <c r="DD38" s="73" t="s">
        <v>151</v>
      </c>
      <c r="DE38" s="73" t="s">
        <v>151</v>
      </c>
      <c r="DF38" s="73" t="s">
        <v>151</v>
      </c>
      <c r="DG38" s="74" t="s">
        <v>151</v>
      </c>
      <c r="DH38" s="74" t="s">
        <v>151</v>
      </c>
      <c r="DI38" s="74" t="s">
        <v>151</v>
      </c>
      <c r="DJ38" s="73" t="s">
        <v>151</v>
      </c>
      <c r="DK38" s="73" t="s">
        <v>151</v>
      </c>
      <c r="DL38" s="73" t="s">
        <v>151</v>
      </c>
      <c r="DM38" s="73" t="s">
        <v>151</v>
      </c>
      <c r="DN38" s="73" t="s">
        <v>151</v>
      </c>
      <c r="DO38" s="73" t="s">
        <v>151</v>
      </c>
      <c r="DP38" s="73" t="s">
        <v>151</v>
      </c>
      <c r="DQ38" s="73" t="s">
        <v>151</v>
      </c>
      <c r="DR38" s="73" t="s">
        <v>151</v>
      </c>
      <c r="DS38" s="73" t="s">
        <v>151</v>
      </c>
      <c r="DT38" s="73" t="s">
        <v>151</v>
      </c>
      <c r="DU38" s="73" t="s">
        <v>151</v>
      </c>
      <c r="DV38" s="73">
        <f t="shared" si="47"/>
        <v>0</v>
      </c>
      <c r="DW38" s="73">
        <f t="shared" si="37"/>
        <v>0</v>
      </c>
      <c r="DX38" s="74" t="s">
        <v>151</v>
      </c>
      <c r="DY38" s="70" t="s">
        <v>151</v>
      </c>
      <c r="DZ38" s="70" t="s">
        <v>151</v>
      </c>
    </row>
    <row r="39" spans="1:130" x14ac:dyDescent="0.3">
      <c r="A39" s="88" t="s">
        <v>63</v>
      </c>
      <c r="B39" s="88" t="s">
        <v>64</v>
      </c>
      <c r="C39" s="88" t="s">
        <v>124</v>
      </c>
      <c r="D39" s="88">
        <v>2010000232</v>
      </c>
      <c r="E39" s="88" t="s">
        <v>89</v>
      </c>
      <c r="F39" s="48">
        <v>1257</v>
      </c>
      <c r="G39" s="61" t="s">
        <v>151</v>
      </c>
      <c r="H39" s="61" t="s">
        <v>151</v>
      </c>
      <c r="I39" s="62">
        <v>0</v>
      </c>
      <c r="J39" s="62">
        <v>2082.547</v>
      </c>
      <c r="K39" s="62">
        <f>J39+I39</f>
        <v>2082.547</v>
      </c>
      <c r="L39" s="62">
        <v>0</v>
      </c>
      <c r="M39" s="62">
        <v>1134.4549999999999</v>
      </c>
      <c r="N39" s="62">
        <f t="shared" si="4"/>
        <v>1134.4549999999999</v>
      </c>
      <c r="O39" s="62">
        <v>0</v>
      </c>
      <c r="P39" s="62">
        <v>1401.453</v>
      </c>
      <c r="Q39" s="62">
        <f t="shared" si="5"/>
        <v>1401.453</v>
      </c>
      <c r="R39" s="62">
        <v>0</v>
      </c>
      <c r="S39" s="62">
        <v>1246.0260000000001</v>
      </c>
      <c r="T39" s="62">
        <f t="shared" si="6"/>
        <v>1246.0260000000001</v>
      </c>
      <c r="U39" s="62">
        <v>0</v>
      </c>
      <c r="V39" s="62">
        <v>947.63400000000001</v>
      </c>
      <c r="W39" s="62">
        <f t="shared" si="7"/>
        <v>947.63400000000001</v>
      </c>
      <c r="X39" s="62">
        <v>0</v>
      </c>
      <c r="Y39" s="62">
        <v>1026.9059999999999</v>
      </c>
      <c r="Z39" s="62">
        <f t="shared" si="8"/>
        <v>1026.9059999999999</v>
      </c>
      <c r="AA39" s="63">
        <v>0</v>
      </c>
      <c r="AB39" s="62">
        <v>1276.1379999999999</v>
      </c>
      <c r="AC39" s="62">
        <f t="shared" si="9"/>
        <v>1276.1379999999999</v>
      </c>
      <c r="AD39" s="63">
        <v>0</v>
      </c>
      <c r="AE39" s="62">
        <v>796.274</v>
      </c>
      <c r="AF39" s="62">
        <f t="shared" si="38"/>
        <v>796.274</v>
      </c>
      <c r="AG39" s="63">
        <v>0</v>
      </c>
      <c r="AH39" s="62">
        <v>1364.557</v>
      </c>
      <c r="AI39" s="62">
        <f t="shared" si="10"/>
        <v>1364.557</v>
      </c>
      <c r="AJ39" s="64" t="s">
        <v>555</v>
      </c>
      <c r="AK39" s="65">
        <v>829189</v>
      </c>
      <c r="AL39" s="65">
        <v>457209</v>
      </c>
      <c r="AM39" s="65">
        <v>581817</v>
      </c>
      <c r="AN39" s="79">
        <v>512465</v>
      </c>
      <c r="AO39" s="79">
        <v>394383</v>
      </c>
      <c r="AP39" s="79">
        <v>423703</v>
      </c>
      <c r="AQ39" s="65">
        <v>514095</v>
      </c>
      <c r="AR39" s="65">
        <v>320006</v>
      </c>
      <c r="AS39" s="65">
        <v>544380</v>
      </c>
      <c r="AT39" s="66">
        <f t="shared" si="11"/>
        <v>398.16100188855279</v>
      </c>
      <c r="AU39" s="66">
        <f t="shared" si="12"/>
        <v>403.02083379243783</v>
      </c>
      <c r="AV39" s="66">
        <f t="shared" si="13"/>
        <v>415.15270223118438</v>
      </c>
      <c r="AW39" s="66">
        <f t="shared" si="14"/>
        <v>411.2795399132923</v>
      </c>
      <c r="AX39" s="66">
        <f t="shared" si="15"/>
        <v>416.1764985215811</v>
      </c>
      <c r="AY39" s="66">
        <f t="shared" si="16"/>
        <v>412.60154288708026</v>
      </c>
      <c r="AZ39" s="66">
        <f t="shared" si="82"/>
        <v>402.85219937028756</v>
      </c>
      <c r="BA39" s="66">
        <f t="shared" si="60"/>
        <v>401.87925261907333</v>
      </c>
      <c r="BB39" s="66">
        <f t="shared" si="94"/>
        <v>398.94266051179977</v>
      </c>
      <c r="BC39" s="68">
        <f t="shared" si="17"/>
        <v>4577247</v>
      </c>
      <c r="BD39" s="68">
        <f t="shared" si="18"/>
        <v>406.67402574836547</v>
      </c>
      <c r="BE39" s="68">
        <f t="shared" si="0"/>
        <v>0.7816586232469831</v>
      </c>
      <c r="BF39" s="69">
        <f t="shared" si="19"/>
        <v>1.9631722331907575E-3</v>
      </c>
      <c r="BG39" s="70" t="str" cm="1">
        <f t="array" ref="BG39">_xlfn.IFS(BF39&gt;0%,"Incremento",BF39=0%,"Stazionarietà",BF39&lt;0%,"Diminuzione")</f>
        <v>Incremento</v>
      </c>
      <c r="BH39" s="91" t="s">
        <v>162</v>
      </c>
      <c r="BI39" s="72" t="s">
        <v>180</v>
      </c>
      <c r="BJ39" s="73">
        <v>107</v>
      </c>
      <c r="BK39" s="73">
        <v>64</v>
      </c>
      <c r="BL39" s="73">
        <v>82</v>
      </c>
      <c r="BM39" s="74">
        <v>81.7</v>
      </c>
      <c r="BN39" s="74">
        <v>63.6</v>
      </c>
      <c r="BO39" s="74">
        <v>80.400000000000006</v>
      </c>
      <c r="BP39" s="73">
        <v>89.671999999999997</v>
      </c>
      <c r="BQ39" s="73">
        <v>55.35</v>
      </c>
      <c r="BR39" s="73">
        <v>111.514</v>
      </c>
      <c r="BS39" s="62">
        <f t="shared" si="20"/>
        <v>5.1379392637957273E-2</v>
      </c>
      <c r="BT39" s="62">
        <f t="shared" si="21"/>
        <v>5.6414754221189911E-2</v>
      </c>
      <c r="BU39" s="62">
        <f t="shared" si="22"/>
        <v>5.8510702820572649E-2</v>
      </c>
      <c r="BV39" s="62">
        <f t="shared" si="23"/>
        <v>6.5568455232876355E-2</v>
      </c>
      <c r="BW39" s="62">
        <f t="shared" si="24"/>
        <v>6.711451889653601E-2</v>
      </c>
      <c r="BX39" s="62">
        <f t="shared" si="25"/>
        <v>7.8293436789735396E-2</v>
      </c>
      <c r="BY39" s="62">
        <f t="shared" si="84"/>
        <v>7.0268262523332112E-2</v>
      </c>
      <c r="BZ39" s="62">
        <f t="shared" si="85"/>
        <v>6.9511248640543338E-2</v>
      </c>
      <c r="CA39" s="62">
        <f>BR39/AI39</f>
        <v>8.1721760248930603E-2</v>
      </c>
      <c r="CB39" s="62">
        <f t="shared" si="26"/>
        <v>735.2360000000001</v>
      </c>
      <c r="CC39" s="62">
        <f t="shared" si="87"/>
        <v>6.6531392445741522E-2</v>
      </c>
      <c r="CD39" s="75">
        <f t="shared" si="27"/>
        <v>3.034236761097333E-2</v>
      </c>
      <c r="CE39" s="69">
        <f t="shared" si="89"/>
        <v>0.59055520225354829</v>
      </c>
      <c r="CF39" s="70" t="str" cm="1">
        <f t="array" ref="CF39">_xlfn.IFS(CE39&gt;0%,"Incremento",CE39=0%,"Stazionarietà",CE39&lt;0%,"Diminuzione")</f>
        <v>Incremento</v>
      </c>
      <c r="CG39" s="73">
        <v>21</v>
      </c>
      <c r="CH39" s="73">
        <v>16</v>
      </c>
      <c r="CI39" s="73">
        <v>29</v>
      </c>
      <c r="CJ39" s="74">
        <v>13.4</v>
      </c>
      <c r="CK39" s="74">
        <v>14.2</v>
      </c>
      <c r="CL39" s="74">
        <v>13.3</v>
      </c>
      <c r="CM39" s="73">
        <v>5.883</v>
      </c>
      <c r="CN39" s="73">
        <v>3.3170000000000002</v>
      </c>
      <c r="CO39" s="73">
        <v>5.383</v>
      </c>
      <c r="CP39" s="73">
        <f t="shared" si="29"/>
        <v>1.0083806031748624E-2</v>
      </c>
      <c r="CQ39" s="73">
        <f t="shared" si="30"/>
        <v>1.4103688555297478E-2</v>
      </c>
      <c r="CR39" s="73">
        <f t="shared" si="31"/>
        <v>2.0692809534104961E-2</v>
      </c>
      <c r="CS39" s="73">
        <f t="shared" si="32"/>
        <v>1.075418971995769E-2</v>
      </c>
      <c r="CT39" s="73">
        <f t="shared" si="33"/>
        <v>1.4984688181302063E-2</v>
      </c>
      <c r="CU39" s="73">
        <f t="shared" si="34"/>
        <v>1.2951526235117918E-2</v>
      </c>
      <c r="CV39" s="73">
        <f t="shared" si="90"/>
        <v>4.6100029934066696E-3</v>
      </c>
      <c r="CW39" s="73">
        <f t="shared" si="88"/>
        <v>4.1656515219635456E-3</v>
      </c>
      <c r="CX39" s="73">
        <f t="shared" si="62"/>
        <v>3.9448700200871052E-3</v>
      </c>
      <c r="CY39" s="73">
        <f t="shared" si="35"/>
        <v>121.48299999999999</v>
      </c>
      <c r="CZ39" s="73">
        <f>(SUM(CP39:CX39))/9</f>
        <v>1.0699025865887338E-2</v>
      </c>
      <c r="DA39" s="74">
        <f t="shared" si="36"/>
        <v>-6.1389360116615183E-3</v>
      </c>
      <c r="DB39" s="69">
        <f>(CX39/CP39)-1</f>
        <v>-0.6087915606798886</v>
      </c>
      <c r="DC39" s="70" t="str" cm="1">
        <f t="array" ref="DC39">_xlfn.IFS(DB39&gt;0%,"Incremento",DB39=0%,"Stazionarietà",DB39&lt;0%,"Diminuzione")</f>
        <v>Diminuzione</v>
      </c>
      <c r="DD39" s="73" t="s">
        <v>151</v>
      </c>
      <c r="DE39" s="73" t="s">
        <v>151</v>
      </c>
      <c r="DF39" s="73" t="s">
        <v>151</v>
      </c>
      <c r="DG39" s="74" t="s">
        <v>151</v>
      </c>
      <c r="DH39" s="74" t="s">
        <v>151</v>
      </c>
      <c r="DI39" s="74" t="s">
        <v>151</v>
      </c>
      <c r="DJ39" s="73" t="s">
        <v>151</v>
      </c>
      <c r="DK39" s="73" t="s">
        <v>151</v>
      </c>
      <c r="DL39" s="73" t="s">
        <v>151</v>
      </c>
      <c r="DM39" s="73" t="s">
        <v>151</v>
      </c>
      <c r="DN39" s="73" t="s">
        <v>151</v>
      </c>
      <c r="DO39" s="73" t="s">
        <v>151</v>
      </c>
      <c r="DP39" s="73" t="s">
        <v>151</v>
      </c>
      <c r="DQ39" s="73" t="s">
        <v>151</v>
      </c>
      <c r="DR39" s="73" t="s">
        <v>151</v>
      </c>
      <c r="DS39" s="73" t="s">
        <v>151</v>
      </c>
      <c r="DT39" s="73" t="s">
        <v>151</v>
      </c>
      <c r="DU39" s="73" t="s">
        <v>151</v>
      </c>
      <c r="DV39" s="73">
        <f t="shared" si="47"/>
        <v>0</v>
      </c>
      <c r="DW39" s="73">
        <f t="shared" si="37"/>
        <v>0</v>
      </c>
      <c r="DX39" s="74" t="s">
        <v>151</v>
      </c>
      <c r="DY39" s="70" t="s">
        <v>151</v>
      </c>
      <c r="DZ39" s="70" t="s">
        <v>151</v>
      </c>
    </row>
    <row r="40" spans="1:130" x14ac:dyDescent="0.3">
      <c r="A40" s="88" t="s">
        <v>65</v>
      </c>
      <c r="B40" s="88" t="s">
        <v>66</v>
      </c>
      <c r="C40" s="88" t="s">
        <v>125</v>
      </c>
      <c r="D40" s="88" t="s">
        <v>88</v>
      </c>
      <c r="E40" s="88" t="s">
        <v>88</v>
      </c>
      <c r="F40" s="48" t="s">
        <v>88</v>
      </c>
      <c r="G40" s="61" t="s">
        <v>151</v>
      </c>
      <c r="H40" s="61" t="s">
        <v>151</v>
      </c>
      <c r="I40" s="62">
        <v>18.086099999999998</v>
      </c>
      <c r="J40" s="62">
        <v>12.321680000000001</v>
      </c>
      <c r="K40" s="62">
        <f>J40+I40</f>
        <v>30.407779999999999</v>
      </c>
      <c r="L40" s="62">
        <v>19.610099999999999</v>
      </c>
      <c r="M40" s="62">
        <v>11.950710000000001</v>
      </c>
      <c r="N40" s="62">
        <f t="shared" si="4"/>
        <v>31.56081</v>
      </c>
      <c r="O40" s="62">
        <v>21.986699999999999</v>
      </c>
      <c r="P40" s="62">
        <v>13.864068</v>
      </c>
      <c r="Q40" s="62">
        <f t="shared" si="5"/>
        <v>35.850768000000002</v>
      </c>
      <c r="R40" s="62">
        <v>18.9526</v>
      </c>
      <c r="S40" s="62">
        <v>11.789298</v>
      </c>
      <c r="T40" s="62">
        <f>R40+S40</f>
        <v>30.741897999999999</v>
      </c>
      <c r="U40" s="62">
        <v>20.3673</v>
      </c>
      <c r="V40" s="62">
        <v>12.096784</v>
      </c>
      <c r="W40" s="62">
        <f t="shared" si="7"/>
        <v>32.464084</v>
      </c>
      <c r="X40" s="62">
        <v>17.641400000000001</v>
      </c>
      <c r="Y40" s="62">
        <v>13.882465</v>
      </c>
      <c r="Z40" s="62">
        <f t="shared" si="8"/>
        <v>31.523865000000001</v>
      </c>
      <c r="AA40" s="62">
        <v>18.411000000000001</v>
      </c>
      <c r="AB40" s="62">
        <v>10.044725</v>
      </c>
      <c r="AC40" s="62">
        <f t="shared" si="9"/>
        <v>28.455725000000001</v>
      </c>
      <c r="AD40" s="62">
        <v>18.728000000000002</v>
      </c>
      <c r="AE40" s="62">
        <v>11.295999999999999</v>
      </c>
      <c r="AF40" s="62">
        <f t="shared" si="38"/>
        <v>30.024000000000001</v>
      </c>
      <c r="AG40" s="62">
        <v>17.41</v>
      </c>
      <c r="AH40" s="62">
        <v>9.3620000000000001</v>
      </c>
      <c r="AI40" s="62">
        <f>AH40+AG40</f>
        <v>26.771999999999998</v>
      </c>
      <c r="AJ40" s="64" t="s">
        <v>594</v>
      </c>
      <c r="AK40" s="65" t="s">
        <v>151</v>
      </c>
      <c r="AL40" s="65" t="s">
        <v>151</v>
      </c>
      <c r="AM40" s="65" t="s">
        <v>151</v>
      </c>
      <c r="AN40" s="79" t="s">
        <v>151</v>
      </c>
      <c r="AO40" s="79" t="s">
        <v>151</v>
      </c>
      <c r="AP40" s="79">
        <f>5365+89</f>
        <v>5454</v>
      </c>
      <c r="AQ40" s="65">
        <f>169+5777</f>
        <v>5946</v>
      </c>
      <c r="AR40" s="65">
        <f>157+6954</f>
        <v>7111</v>
      </c>
      <c r="AS40" s="65">
        <f>135+4649</f>
        <v>4784</v>
      </c>
      <c r="AT40" s="66" t="s">
        <v>151</v>
      </c>
      <c r="AU40" s="66" t="s">
        <v>151</v>
      </c>
      <c r="AV40" s="66" t="s">
        <v>151</v>
      </c>
      <c r="AW40" s="66" t="s">
        <v>151</v>
      </c>
      <c r="AX40" s="66" t="s">
        <v>151</v>
      </c>
      <c r="AY40" s="66">
        <f>AP40/Z40</f>
        <v>173.01178012277364</v>
      </c>
      <c r="AZ40" s="66">
        <f>AQ40/AC40</f>
        <v>208.95619422805078</v>
      </c>
      <c r="BA40" s="66">
        <f t="shared" si="60"/>
        <v>236.84385824673595</v>
      </c>
      <c r="BB40" s="66">
        <f>AS40/AI40</f>
        <v>178.69415807560139</v>
      </c>
      <c r="BC40" s="68">
        <f t="shared" si="17"/>
        <v>23295</v>
      </c>
      <c r="BD40" s="68">
        <f>(SUM(AT40:BB40))/4</f>
        <v>199.37649766829045</v>
      </c>
      <c r="BE40" s="68">
        <f>BB40-AY40</f>
        <v>5.6823779528277498</v>
      </c>
      <c r="BF40" s="69">
        <f>(BB40/AY40)-1</f>
        <v>3.284387888960727E-2</v>
      </c>
      <c r="BG40" s="70" t="str" cm="1">
        <f t="array" ref="BG40">_xlfn.IFS(BF40&gt;0%,"Incremento",BF40=0%,"Stazionarietà",BF40&lt;0%,"Diminuzione")</f>
        <v>Incremento</v>
      </c>
      <c r="BH40" s="95" t="s">
        <v>167</v>
      </c>
      <c r="BI40" s="72" t="s">
        <v>182</v>
      </c>
      <c r="BJ40" s="73" t="s">
        <v>151</v>
      </c>
      <c r="BK40" s="73" t="s">
        <v>151</v>
      </c>
      <c r="BL40" s="73" t="s">
        <v>151</v>
      </c>
      <c r="BM40" s="74" t="s">
        <v>151</v>
      </c>
      <c r="BN40" s="74">
        <v>15.125016</v>
      </c>
      <c r="BO40" s="74">
        <v>9.4186219999999992</v>
      </c>
      <c r="BP40" s="73">
        <v>10.015684</v>
      </c>
      <c r="BQ40" s="73">
        <v>10.610270999999999</v>
      </c>
      <c r="BR40" s="73">
        <v>13.693641</v>
      </c>
      <c r="BS40" s="62" t="s">
        <v>151</v>
      </c>
      <c r="BT40" s="62" t="s">
        <v>151</v>
      </c>
      <c r="BU40" s="62" t="s">
        <v>151</v>
      </c>
      <c r="BV40" s="62" t="s">
        <v>151</v>
      </c>
      <c r="BW40" s="62">
        <f t="shared" si="24"/>
        <v>0.46589997734111338</v>
      </c>
      <c r="BX40" s="62">
        <f t="shared" si="25"/>
        <v>0.29877751348065978</v>
      </c>
      <c r="BY40" s="62">
        <f t="shared" si="84"/>
        <v>0.35197430394059542</v>
      </c>
      <c r="BZ40" s="62">
        <f t="shared" si="85"/>
        <v>0.35339298561151072</v>
      </c>
      <c r="CA40" s="62">
        <f t="shared" ref="CA40" si="99">BR40/AI40</f>
        <v>0.51149114746750335</v>
      </c>
      <c r="CB40" s="62">
        <f t="shared" si="26"/>
        <v>58.863233999999999</v>
      </c>
      <c r="CC40" s="62">
        <f>(SUM(BS40:CA40))/5</f>
        <v>0.3963071855682766</v>
      </c>
      <c r="CD40" s="75">
        <f>CA40-BW40</f>
        <v>4.5591170126389968E-2</v>
      </c>
      <c r="CE40" s="69">
        <f>(CA40/BW40)-1</f>
        <v>9.7856132954928121E-2</v>
      </c>
      <c r="CF40" s="70" t="str" cm="1">
        <f t="array" ref="CF40">_xlfn.IFS(CE40&gt;0%,"Incremento",CE40=0%,"Stazionarietà",CE40&lt;0%,"Diminuzione")</f>
        <v>Incremento</v>
      </c>
      <c r="CG40" s="73" t="s">
        <v>151</v>
      </c>
      <c r="CH40" s="73" t="s">
        <v>151</v>
      </c>
      <c r="CI40" s="73" t="s">
        <v>151</v>
      </c>
      <c r="CJ40" s="74" t="s">
        <v>151</v>
      </c>
      <c r="CK40" s="74">
        <v>4.4493039999999997</v>
      </c>
      <c r="CL40" s="74">
        <v>2.3612989999999998</v>
      </c>
      <c r="CM40" s="73">
        <v>1.761593</v>
      </c>
      <c r="CN40" s="73">
        <v>3.7618559999999999</v>
      </c>
      <c r="CO40" s="73">
        <v>4.375794</v>
      </c>
      <c r="CP40" s="73" t="s">
        <v>151</v>
      </c>
      <c r="CQ40" s="73" t="s">
        <v>151</v>
      </c>
      <c r="CR40" s="73" t="s">
        <v>151</v>
      </c>
      <c r="CS40" s="73" t="s">
        <v>151</v>
      </c>
      <c r="CT40" s="73">
        <f t="shared" si="33"/>
        <v>0.13705311999562347</v>
      </c>
      <c r="CU40" s="73">
        <f t="shared" si="34"/>
        <v>7.4905123467569723E-2</v>
      </c>
      <c r="CV40" s="73">
        <f t="shared" si="90"/>
        <v>6.1906452919403734E-2</v>
      </c>
      <c r="CW40" s="73">
        <f t="shared" si="88"/>
        <v>0.12529496402877696</v>
      </c>
      <c r="CX40" s="73">
        <f t="shared" si="62"/>
        <v>0.16344666069027342</v>
      </c>
      <c r="CY40" s="73">
        <f t="shared" si="35"/>
        <v>16.709845999999999</v>
      </c>
      <c r="CZ40" s="73">
        <f>(SUM(CP40:CX40))/5</f>
        <v>0.11252126422032944</v>
      </c>
      <c r="DA40" s="74">
        <f>CX40-CT40</f>
        <v>2.6393540694649942E-2</v>
      </c>
      <c r="DB40" s="69">
        <f>(CX40/CT40)-1</f>
        <v>0.19257891170586094</v>
      </c>
      <c r="DC40" s="70" t="str" cm="1">
        <f t="array" ref="DC40">_xlfn.IFS(DB40&gt;0%,"Incremento",DB40=0%,"Stazionarietà",DB40&lt;0%,"Diminuzione")</f>
        <v>Incremento</v>
      </c>
      <c r="DD40" s="73" t="s">
        <v>151</v>
      </c>
      <c r="DE40" s="73" t="s">
        <v>151</v>
      </c>
      <c r="DF40" s="73" t="s">
        <v>151</v>
      </c>
      <c r="DG40" s="74" t="s">
        <v>151</v>
      </c>
      <c r="DH40" s="74">
        <v>4.0353050000000001</v>
      </c>
      <c r="DI40" s="74">
        <v>4.5342130000000003</v>
      </c>
      <c r="DJ40" s="73">
        <v>4.9054130000000002</v>
      </c>
      <c r="DK40" s="73">
        <v>3.5104649999999999</v>
      </c>
      <c r="DL40" s="73">
        <v>2.7250619999999999</v>
      </c>
      <c r="DM40" s="73" t="s">
        <v>151</v>
      </c>
      <c r="DN40" s="73" t="s">
        <v>151</v>
      </c>
      <c r="DO40" s="73" t="s">
        <v>151</v>
      </c>
      <c r="DP40" s="73" t="s">
        <v>151</v>
      </c>
      <c r="DQ40" s="73">
        <f t="shared" si="53"/>
        <v>0.12430059631437622</v>
      </c>
      <c r="DR40" s="73">
        <f t="shared" si="54"/>
        <v>0.14383429823722441</v>
      </c>
      <c r="DS40" s="73">
        <f t="shared" ref="DS40" si="100">DJ40/AC40</f>
        <v>0.17238755997255387</v>
      </c>
      <c r="DT40" s="73">
        <f t="shared" ref="DT40" si="101">DK40/AF40</f>
        <v>0.11692196243005595</v>
      </c>
      <c r="DU40" s="73">
        <f t="shared" ref="DU40" si="102">DL40/AI40</f>
        <v>0.10178776333482743</v>
      </c>
      <c r="DV40" s="73">
        <f t="shared" si="47"/>
        <v>19.710458000000003</v>
      </c>
      <c r="DW40" s="73">
        <f>(SUM(DM40:DU40))/5</f>
        <v>0.13184643605780758</v>
      </c>
      <c r="DX40" s="80">
        <f>DU40-DQ40</f>
        <v>-2.2512832979548786E-2</v>
      </c>
      <c r="DY40" s="70">
        <f>(DU40/DQ40)-1</f>
        <v>-0.18111604969786477</v>
      </c>
      <c r="DZ40" s="70" t="str" cm="1">
        <f t="array" ref="DZ40">_xlfn.IFS(DY40&gt;0%,"Incremento",DY40=0%,"Stazionarietà",DY40&lt;0%,"Diminuzione")</f>
        <v>Diminuzione</v>
      </c>
    </row>
    <row r="41" spans="1:130" x14ac:dyDescent="0.3">
      <c r="A41" s="88" t="s">
        <v>67</v>
      </c>
      <c r="B41" s="88" t="s">
        <v>68</v>
      </c>
      <c r="C41" s="88" t="s">
        <v>126</v>
      </c>
      <c r="D41" s="88">
        <v>2010000120</v>
      </c>
      <c r="E41" s="88" t="s">
        <v>89</v>
      </c>
      <c r="F41" s="48">
        <v>1524</v>
      </c>
      <c r="G41" s="61">
        <v>0</v>
      </c>
      <c r="H41" s="61">
        <v>814</v>
      </c>
      <c r="I41" s="62">
        <v>0</v>
      </c>
      <c r="J41" s="62">
        <v>1459.39</v>
      </c>
      <c r="K41" s="62">
        <f t="shared" si="3"/>
        <v>1459.39</v>
      </c>
      <c r="L41" s="62">
        <v>0</v>
      </c>
      <c r="M41" s="62">
        <v>822.65</v>
      </c>
      <c r="N41" s="62">
        <f t="shared" si="4"/>
        <v>822.65</v>
      </c>
      <c r="O41" s="62">
        <v>0</v>
      </c>
      <c r="P41" s="62">
        <v>542.75</v>
      </c>
      <c r="Q41" s="62">
        <f t="shared" si="5"/>
        <v>542.75</v>
      </c>
      <c r="R41" s="62">
        <v>0</v>
      </c>
      <c r="S41" s="62">
        <v>235.08</v>
      </c>
      <c r="T41" s="62">
        <f t="shared" si="6"/>
        <v>235.08</v>
      </c>
      <c r="U41" s="62">
        <v>0</v>
      </c>
      <c r="V41" s="62">
        <v>620.13</v>
      </c>
      <c r="W41" s="62">
        <f t="shared" si="7"/>
        <v>620.13</v>
      </c>
      <c r="X41" s="62">
        <v>0</v>
      </c>
      <c r="Y41" s="62">
        <v>2123.39</v>
      </c>
      <c r="Z41" s="62">
        <f t="shared" si="8"/>
        <v>2123.39</v>
      </c>
      <c r="AA41" s="63">
        <v>0</v>
      </c>
      <c r="AB41" s="62">
        <v>2019.35</v>
      </c>
      <c r="AC41" s="62">
        <f t="shared" si="9"/>
        <v>2019.35</v>
      </c>
      <c r="AD41" s="63">
        <v>0</v>
      </c>
      <c r="AE41" s="62">
        <v>2275.4299999999998</v>
      </c>
      <c r="AF41" s="62">
        <f t="shared" si="38"/>
        <v>2275.4299999999998</v>
      </c>
      <c r="AG41" s="63" t="s">
        <v>151</v>
      </c>
      <c r="AH41" s="62" t="s">
        <v>151</v>
      </c>
      <c r="AI41" s="62" t="s">
        <v>151</v>
      </c>
      <c r="AJ41" s="64" t="s">
        <v>564</v>
      </c>
      <c r="AK41" s="65">
        <v>535209</v>
      </c>
      <c r="AL41" s="65">
        <v>304969</v>
      </c>
      <c r="AM41" s="65">
        <v>213474</v>
      </c>
      <c r="AN41" s="79">
        <v>95674.4</v>
      </c>
      <c r="AO41" s="79">
        <v>243120</v>
      </c>
      <c r="AP41" s="79">
        <v>790296</v>
      </c>
      <c r="AQ41" s="65">
        <v>753292</v>
      </c>
      <c r="AR41" s="65">
        <v>868206</v>
      </c>
      <c r="AS41" s="65" t="s">
        <v>151</v>
      </c>
      <c r="AT41" s="66">
        <f t="shared" si="11"/>
        <v>366.73473163444999</v>
      </c>
      <c r="AU41" s="66">
        <f t="shared" si="12"/>
        <v>370.71537105695012</v>
      </c>
      <c r="AV41" s="66">
        <f t="shared" si="13"/>
        <v>393.31920773836941</v>
      </c>
      <c r="AW41" s="66">
        <f t="shared" si="14"/>
        <v>406.98655776756846</v>
      </c>
      <c r="AX41" s="66">
        <f t="shared" si="15"/>
        <v>392.04682889071648</v>
      </c>
      <c r="AY41" s="66">
        <f t="shared" si="16"/>
        <v>372.18598561733836</v>
      </c>
      <c r="AZ41" s="66">
        <f t="shared" ref="AZ41" si="103">AQ41/AC41</f>
        <v>373.0368682992052</v>
      </c>
      <c r="BA41" s="66">
        <f t="shared" si="60"/>
        <v>381.55689254338745</v>
      </c>
      <c r="BB41" s="66" t="s">
        <v>151</v>
      </c>
      <c r="BC41" s="68">
        <f t="shared" si="17"/>
        <v>3804240.4</v>
      </c>
      <c r="BD41" s="68">
        <f>(SUM(AT41:BB41))/8</f>
        <v>382.07280544349817</v>
      </c>
      <c r="BE41" s="68">
        <f>BA41-AT41</f>
        <v>14.822160908937462</v>
      </c>
      <c r="BF41" s="69">
        <f>(BA41/AT41)-1</f>
        <v>4.0416572607886447E-2</v>
      </c>
      <c r="BG41" s="70" t="str" cm="1">
        <f t="array" ref="BG41">_xlfn.IFS(BF41&gt;0%,"Incremento",BF41=0%,"Stazionarietà",BF41&lt;0%,"Diminuzione")</f>
        <v>Incremento</v>
      </c>
      <c r="BH41" s="91" t="s">
        <v>162</v>
      </c>
      <c r="BI41" s="72" t="s">
        <v>180</v>
      </c>
      <c r="BJ41" s="73">
        <v>182.6</v>
      </c>
      <c r="BK41" s="73">
        <v>96.4</v>
      </c>
      <c r="BL41" s="73">
        <v>85.1</v>
      </c>
      <c r="BM41" s="74">
        <v>55.1</v>
      </c>
      <c r="BN41" s="74">
        <v>111</v>
      </c>
      <c r="BO41" s="74">
        <v>208.6</v>
      </c>
      <c r="BP41" s="73">
        <v>170.1</v>
      </c>
      <c r="BQ41" s="73">
        <v>165.9</v>
      </c>
      <c r="BR41" s="73" t="s">
        <v>151</v>
      </c>
      <c r="BS41" s="62">
        <f t="shared" si="20"/>
        <v>0.12512076963662899</v>
      </c>
      <c r="BT41" s="62">
        <f t="shared" si="21"/>
        <v>0.11718227678842766</v>
      </c>
      <c r="BU41" s="62">
        <f t="shared" si="22"/>
        <v>0.15679410409949332</v>
      </c>
      <c r="BV41" s="62">
        <f t="shared" si="23"/>
        <v>0.23438829334694572</v>
      </c>
      <c r="BW41" s="62">
        <f t="shared" si="24"/>
        <v>0.17899472691209908</v>
      </c>
      <c r="BX41" s="62">
        <f t="shared" si="25"/>
        <v>9.8239136475164718E-2</v>
      </c>
      <c r="BY41" s="62">
        <f t="shared" si="84"/>
        <v>8.4235026122267062E-2</v>
      </c>
      <c r="BZ41" s="62">
        <f t="shared" si="85"/>
        <v>7.2909296264881809E-2</v>
      </c>
      <c r="CA41" s="62" t="s">
        <v>151</v>
      </c>
      <c r="CB41" s="62">
        <f t="shared" si="26"/>
        <v>1074.8000000000002</v>
      </c>
      <c r="CC41" s="62">
        <f>(SUM(BS41:CA41))/8</f>
        <v>0.13348295370573854</v>
      </c>
      <c r="CD41" s="75">
        <f>BZ41-BS41</f>
        <v>-5.2211473371747183E-2</v>
      </c>
      <c r="CE41" s="69">
        <f>(BZ41/BS41)-1</f>
        <v>-0.41728862061333039</v>
      </c>
      <c r="CF41" s="70" t="str" cm="1">
        <f t="array" ref="CF41">_xlfn.IFS(CE41&gt;0%,"Incremento",CE41=0%,"Stazionarietà",CE41&lt;0%,"Diminuzione")</f>
        <v>Diminuzione</v>
      </c>
      <c r="CG41" s="73">
        <v>49.17</v>
      </c>
      <c r="CH41" s="73">
        <v>47.7</v>
      </c>
      <c r="CI41" s="73">
        <v>66.5</v>
      </c>
      <c r="CJ41" s="74">
        <v>87.6</v>
      </c>
      <c r="CK41" s="74">
        <v>161.6</v>
      </c>
      <c r="CL41" s="74">
        <v>144.19999999999999</v>
      </c>
      <c r="CM41" s="73">
        <v>96.4</v>
      </c>
      <c r="CN41" s="73">
        <v>74.3</v>
      </c>
      <c r="CO41" s="73" t="s">
        <v>151</v>
      </c>
      <c r="CP41" s="73">
        <f t="shared" si="29"/>
        <v>3.3692159052754918E-2</v>
      </c>
      <c r="CQ41" s="73">
        <f t="shared" si="30"/>
        <v>5.7983346502157668E-2</v>
      </c>
      <c r="CR41" s="73">
        <f t="shared" si="31"/>
        <v>0.12252418240442192</v>
      </c>
      <c r="CS41" s="73">
        <f t="shared" si="32"/>
        <v>0.37263910158243996</v>
      </c>
      <c r="CT41" s="73">
        <f t="shared" si="33"/>
        <v>0.26059052134229921</v>
      </c>
      <c r="CU41" s="73">
        <f t="shared" si="34"/>
        <v>6.7910275549946081E-2</v>
      </c>
      <c r="CV41" s="73">
        <f t="shared" si="90"/>
        <v>4.7738133557828022E-2</v>
      </c>
      <c r="CW41" s="73">
        <f t="shared" si="88"/>
        <v>3.2653168851601674E-2</v>
      </c>
      <c r="CX41" s="73" t="s">
        <v>151</v>
      </c>
      <c r="CY41" s="73">
        <f t="shared" si="35"/>
        <v>727.46999999999991</v>
      </c>
      <c r="CZ41" s="73">
        <f>(SUM(CP41:CX41))/8</f>
        <v>0.12446636110543119</v>
      </c>
      <c r="DA41" s="74">
        <f>CW41-CP41</f>
        <v>-1.0389902011532434E-3</v>
      </c>
      <c r="DB41" s="69">
        <f>(CW41/CP41)-1</f>
        <v>-3.0837744756173069E-2</v>
      </c>
      <c r="DC41" s="70" t="str" cm="1">
        <f t="array" ref="DC41">_xlfn.IFS(DB41&gt;0%,"Incremento",DB41=0%,"Stazionarietà",DB41&lt;0%,"Diminuzione")</f>
        <v>Diminuzione</v>
      </c>
      <c r="DD41" s="73" t="s">
        <v>151</v>
      </c>
      <c r="DE41" s="73" t="s">
        <v>151</v>
      </c>
      <c r="DF41" s="73" t="s">
        <v>151</v>
      </c>
      <c r="DG41" s="74" t="s">
        <v>151</v>
      </c>
      <c r="DH41" s="74" t="s">
        <v>151</v>
      </c>
      <c r="DI41" s="74" t="s">
        <v>151</v>
      </c>
      <c r="DJ41" s="73" t="s">
        <v>151</v>
      </c>
      <c r="DK41" s="73" t="s">
        <v>151</v>
      </c>
      <c r="DL41" s="73" t="s">
        <v>151</v>
      </c>
      <c r="DM41" s="73" t="s">
        <v>151</v>
      </c>
      <c r="DN41" s="73" t="s">
        <v>151</v>
      </c>
      <c r="DO41" s="73" t="s">
        <v>151</v>
      </c>
      <c r="DP41" s="73" t="s">
        <v>151</v>
      </c>
      <c r="DQ41" s="73" t="s">
        <v>151</v>
      </c>
      <c r="DR41" s="73" t="s">
        <v>151</v>
      </c>
      <c r="DS41" s="73" t="s">
        <v>151</v>
      </c>
      <c r="DT41" s="73" t="s">
        <v>151</v>
      </c>
      <c r="DU41" s="73" t="s">
        <v>151</v>
      </c>
      <c r="DV41" s="73">
        <f t="shared" si="47"/>
        <v>0</v>
      </c>
      <c r="DW41" s="73">
        <f>(SUM(DM41:DU41))/9</f>
        <v>0</v>
      </c>
      <c r="DX41" s="74" t="s">
        <v>151</v>
      </c>
      <c r="DY41" s="70" t="s">
        <v>151</v>
      </c>
      <c r="DZ41" s="70" t="s">
        <v>151</v>
      </c>
    </row>
    <row r="42" spans="1:130" x14ac:dyDescent="0.3">
      <c r="A42" s="88" t="s">
        <v>4</v>
      </c>
      <c r="B42" s="88" t="s">
        <v>69</v>
      </c>
      <c r="C42" s="88" t="s">
        <v>127</v>
      </c>
      <c r="D42" s="88">
        <v>2008000383</v>
      </c>
      <c r="E42" s="88" t="s">
        <v>89</v>
      </c>
      <c r="F42" s="48">
        <v>1526</v>
      </c>
      <c r="G42" s="61" t="s">
        <v>151</v>
      </c>
      <c r="H42" s="61">
        <v>840</v>
      </c>
      <c r="I42" s="62">
        <v>0</v>
      </c>
      <c r="J42" s="62">
        <v>1152.5429999999999</v>
      </c>
      <c r="K42" s="62">
        <f t="shared" si="3"/>
        <v>1152.5429999999999</v>
      </c>
      <c r="L42" s="62">
        <v>0</v>
      </c>
      <c r="M42" s="62">
        <v>915.62400000000002</v>
      </c>
      <c r="N42" s="62">
        <f t="shared" si="4"/>
        <v>915.62400000000002</v>
      </c>
      <c r="O42" s="62">
        <v>0</v>
      </c>
      <c r="P42" s="62">
        <v>277.26600000000002</v>
      </c>
      <c r="Q42" s="62">
        <f>P42+O42</f>
        <v>277.26600000000002</v>
      </c>
      <c r="R42" s="62">
        <v>0</v>
      </c>
      <c r="S42" s="62">
        <v>320.45299999999997</v>
      </c>
      <c r="T42" s="62">
        <f t="shared" si="6"/>
        <v>320.45299999999997</v>
      </c>
      <c r="U42" s="62">
        <v>0</v>
      </c>
      <c r="V42" s="62">
        <v>643.94299999999998</v>
      </c>
      <c r="W42" s="62">
        <f t="shared" si="7"/>
        <v>643.94299999999998</v>
      </c>
      <c r="X42" s="62">
        <v>0</v>
      </c>
      <c r="Y42" s="62">
        <v>1074.4380000000001</v>
      </c>
      <c r="Z42" s="62">
        <f t="shared" si="8"/>
        <v>1074.4380000000001</v>
      </c>
      <c r="AA42" s="63">
        <v>0</v>
      </c>
      <c r="AB42" s="62">
        <v>1126.5050000000001</v>
      </c>
      <c r="AC42" s="62">
        <f t="shared" si="9"/>
        <v>1126.5050000000001</v>
      </c>
      <c r="AD42" s="63">
        <v>0</v>
      </c>
      <c r="AE42" s="62">
        <v>1071.9659999999999</v>
      </c>
      <c r="AF42" s="62">
        <f t="shared" si="38"/>
        <v>1071.9659999999999</v>
      </c>
      <c r="AG42" s="63">
        <v>0</v>
      </c>
      <c r="AH42" s="62">
        <v>1915.5319999999999</v>
      </c>
      <c r="AI42" s="62">
        <f t="shared" si="10"/>
        <v>1915.5319999999999</v>
      </c>
      <c r="AJ42" s="64" t="s">
        <v>540</v>
      </c>
      <c r="AK42" s="65">
        <v>432541</v>
      </c>
      <c r="AL42" s="65">
        <v>344301</v>
      </c>
      <c r="AM42" s="65">
        <v>112601</v>
      </c>
      <c r="AN42" s="79">
        <v>129832</v>
      </c>
      <c r="AO42" s="79">
        <v>261155</v>
      </c>
      <c r="AP42" s="79">
        <v>419518</v>
      </c>
      <c r="AQ42" s="65">
        <v>439173</v>
      </c>
      <c r="AR42" s="65">
        <v>417520</v>
      </c>
      <c r="AS42" s="65">
        <v>753668</v>
      </c>
      <c r="AT42" s="66">
        <f t="shared" si="11"/>
        <v>375.29272226719524</v>
      </c>
      <c r="AU42" s="66">
        <f t="shared" si="12"/>
        <v>376.02880658436214</v>
      </c>
      <c r="AV42" s="66">
        <f t="shared" si="13"/>
        <v>406.11182041793796</v>
      </c>
      <c r="AW42" s="66">
        <f t="shared" si="14"/>
        <v>405.15145746802187</v>
      </c>
      <c r="AX42" s="66">
        <f t="shared" si="15"/>
        <v>405.55608182711825</v>
      </c>
      <c r="AY42" s="66">
        <f t="shared" si="16"/>
        <v>390.4534277454818</v>
      </c>
      <c r="AZ42" s="66">
        <f>AQ42/AC42</f>
        <v>389.85446136501832</v>
      </c>
      <c r="BA42" s="66">
        <f t="shared" si="60"/>
        <v>389.48996516680569</v>
      </c>
      <c r="BB42" s="66">
        <f t="shared" ref="BB42:BB43" si="104">AS42/AI42</f>
        <v>393.45100995441476</v>
      </c>
      <c r="BC42" s="68">
        <f t="shared" si="17"/>
        <v>3310309</v>
      </c>
      <c r="BD42" s="68">
        <f>(SUM(AT42:BB42))/9</f>
        <v>392.37663919959516</v>
      </c>
      <c r="BE42" s="68">
        <f>BB42-AT42</f>
        <v>18.158287687219513</v>
      </c>
      <c r="BF42" s="69">
        <f>(BB42/AT42)-1</f>
        <v>4.838433204225967E-2</v>
      </c>
      <c r="BG42" s="70" t="str" cm="1">
        <f t="array" ref="BG42">_xlfn.IFS(BF42&gt;0%,"Incremento",BF42=0%,"Stazionarietà",BF42&lt;0%,"Diminuzione")</f>
        <v>Incremento</v>
      </c>
      <c r="BH42" s="91" t="s">
        <v>162</v>
      </c>
      <c r="BI42" s="72" t="s">
        <v>180</v>
      </c>
      <c r="BJ42" s="73">
        <v>147.44</v>
      </c>
      <c r="BK42" s="73">
        <v>107.9</v>
      </c>
      <c r="BL42" s="73">
        <v>42.07</v>
      </c>
      <c r="BM42" s="74">
        <v>50.05</v>
      </c>
      <c r="BN42" s="74">
        <v>70.510000000000005</v>
      </c>
      <c r="BO42" s="74">
        <v>95.24</v>
      </c>
      <c r="BP42" s="73">
        <v>93.5</v>
      </c>
      <c r="BQ42" s="73">
        <v>81.3</v>
      </c>
      <c r="BR42" s="73">
        <v>179.1</v>
      </c>
      <c r="BS42" s="62">
        <f t="shared" si="20"/>
        <v>0.12792581274624895</v>
      </c>
      <c r="BT42" s="62">
        <f t="shared" si="21"/>
        <v>0.11784313211536614</v>
      </c>
      <c r="BU42" s="62">
        <f t="shared" si="22"/>
        <v>0.15173155020810339</v>
      </c>
      <c r="BV42" s="62">
        <f t="shared" si="23"/>
        <v>0.15618515039646999</v>
      </c>
      <c r="BW42" s="62">
        <f t="shared" si="24"/>
        <v>0.10949726916823385</v>
      </c>
      <c r="BX42" s="62">
        <f t="shared" si="25"/>
        <v>8.8641689888108929E-2</v>
      </c>
      <c r="BY42" s="62">
        <f t="shared" si="84"/>
        <v>8.3000075454614047E-2</v>
      </c>
      <c r="BZ42" s="62">
        <f t="shared" si="85"/>
        <v>7.5841957674030708E-2</v>
      </c>
      <c r="CA42" s="62">
        <f t="shared" ref="CA42:CA48" si="105">BR42/AI42</f>
        <v>9.3498829567973812E-2</v>
      </c>
      <c r="CB42" s="62">
        <f t="shared" si="26"/>
        <v>867.11</v>
      </c>
      <c r="CC42" s="62">
        <f>(SUM(BS42:CA42))/9</f>
        <v>0.11157394080212775</v>
      </c>
      <c r="CD42" s="75">
        <f>CA42-BS42</f>
        <v>-3.4426983178275139E-2</v>
      </c>
      <c r="CE42" s="69">
        <f>(CA42/BS42)-1</f>
        <v>-0.26911678291670349</v>
      </c>
      <c r="CF42" s="70" t="str" cm="1">
        <f t="array" ref="CF42">_xlfn.IFS(CE42&gt;0%,"Incremento",CE42=0%,"Stazionarietà",CE42&lt;0%,"Diminuzione")</f>
        <v>Diminuzione</v>
      </c>
      <c r="CG42" s="73">
        <v>53.26</v>
      </c>
      <c r="CH42" s="73">
        <v>53.34</v>
      </c>
      <c r="CI42" s="73">
        <v>20.92</v>
      </c>
      <c r="CJ42" s="74">
        <v>21.8</v>
      </c>
      <c r="CK42" s="74">
        <v>35.119999999999997</v>
      </c>
      <c r="CL42" s="74">
        <v>27.64</v>
      </c>
      <c r="CM42" s="73">
        <v>20.6</v>
      </c>
      <c r="CN42" s="73">
        <v>22</v>
      </c>
      <c r="CO42" s="73">
        <v>53.7</v>
      </c>
      <c r="CP42" s="73">
        <f t="shared" si="29"/>
        <v>4.6210857208798285E-2</v>
      </c>
      <c r="CQ42" s="73">
        <f t="shared" si="30"/>
        <v>5.8255353725983595E-2</v>
      </c>
      <c r="CR42" s="73">
        <f t="shared" si="31"/>
        <v>7.545101094256057E-2</v>
      </c>
      <c r="CS42" s="73">
        <f t="shared" si="32"/>
        <v>6.8028696875984937E-2</v>
      </c>
      <c r="CT42" s="73">
        <f t="shared" si="33"/>
        <v>5.4538988699310342E-2</v>
      </c>
      <c r="CU42" s="73">
        <f t="shared" si="34"/>
        <v>2.5725076737792219E-2</v>
      </c>
      <c r="CV42" s="73">
        <f t="shared" si="90"/>
        <v>1.8286647640267908E-2</v>
      </c>
      <c r="CW42" s="73">
        <f t="shared" si="88"/>
        <v>2.0523038976982481E-2</v>
      </c>
      <c r="CX42" s="73">
        <f t="shared" ref="CX42:CX52" si="106">CO42/AI42</f>
        <v>2.8033987424903373E-2</v>
      </c>
      <c r="CY42" s="73">
        <f t="shared" si="35"/>
        <v>308.38</v>
      </c>
      <c r="CZ42" s="73">
        <f>(SUM(CP42:CX42))/9</f>
        <v>4.3894850914731526E-2</v>
      </c>
      <c r="DA42" s="74">
        <f t="shared" si="36"/>
        <v>-1.8176869783894913E-2</v>
      </c>
      <c r="DB42" s="69">
        <f>(CX42/CP42)-1</f>
        <v>-0.39334630175252705</v>
      </c>
      <c r="DC42" s="70" t="str" cm="1">
        <f t="array" ref="DC42">_xlfn.IFS(DB42&gt;0%,"Incremento",DB42=0%,"Stazionarietà",DB42&lt;0%,"Diminuzione")</f>
        <v>Diminuzione</v>
      </c>
      <c r="DD42" s="73" t="s">
        <v>151</v>
      </c>
      <c r="DE42" s="73" t="s">
        <v>151</v>
      </c>
      <c r="DF42" s="73" t="s">
        <v>151</v>
      </c>
      <c r="DG42" s="74" t="s">
        <v>151</v>
      </c>
      <c r="DH42" s="74" t="s">
        <v>151</v>
      </c>
      <c r="DI42" s="74" t="s">
        <v>151</v>
      </c>
      <c r="DJ42" s="73" t="s">
        <v>151</v>
      </c>
      <c r="DK42" s="73" t="s">
        <v>151</v>
      </c>
      <c r="DL42" s="73" t="s">
        <v>151</v>
      </c>
      <c r="DM42" s="73" t="s">
        <v>151</v>
      </c>
      <c r="DN42" s="73" t="s">
        <v>151</v>
      </c>
      <c r="DO42" s="73" t="s">
        <v>151</v>
      </c>
      <c r="DP42" s="73" t="s">
        <v>151</v>
      </c>
      <c r="DQ42" s="73" t="s">
        <v>151</v>
      </c>
      <c r="DR42" s="73" t="s">
        <v>151</v>
      </c>
      <c r="DS42" s="73" t="s">
        <v>151</v>
      </c>
      <c r="DT42" s="73" t="s">
        <v>151</v>
      </c>
      <c r="DU42" s="73" t="s">
        <v>151</v>
      </c>
      <c r="DV42" s="73">
        <f t="shared" si="47"/>
        <v>0</v>
      </c>
      <c r="DW42" s="73">
        <f t="shared" si="37"/>
        <v>0</v>
      </c>
      <c r="DX42" s="74" t="s">
        <v>593</v>
      </c>
      <c r="DY42" s="70" t="s">
        <v>151</v>
      </c>
      <c r="DZ42" s="70" t="s">
        <v>151</v>
      </c>
    </row>
    <row r="43" spans="1:130" ht="46.8" x14ac:dyDescent="0.3">
      <c r="A43" s="88" t="s">
        <v>12</v>
      </c>
      <c r="B43" s="88" t="s">
        <v>70</v>
      </c>
      <c r="C43" s="88" t="s">
        <v>128</v>
      </c>
      <c r="D43" s="88">
        <v>2012000034</v>
      </c>
      <c r="E43" s="88" t="s">
        <v>89</v>
      </c>
      <c r="F43" s="48">
        <v>1690</v>
      </c>
      <c r="G43" s="61">
        <v>352</v>
      </c>
      <c r="H43" s="61">
        <v>390</v>
      </c>
      <c r="I43" s="62" t="s">
        <v>151</v>
      </c>
      <c r="J43" s="62" t="s">
        <v>151</v>
      </c>
      <c r="K43" s="62" t="s">
        <v>151</v>
      </c>
      <c r="L43" s="62">
        <v>216</v>
      </c>
      <c r="M43" s="62">
        <v>792</v>
      </c>
      <c r="N43" s="62">
        <f t="shared" si="4"/>
        <v>1008</v>
      </c>
      <c r="O43" s="62">
        <v>475</v>
      </c>
      <c r="P43" s="62">
        <v>1894</v>
      </c>
      <c r="Q43" s="62">
        <f t="shared" si="5"/>
        <v>2369</v>
      </c>
      <c r="R43" s="62">
        <v>419</v>
      </c>
      <c r="S43" s="62">
        <v>1080</v>
      </c>
      <c r="T43" s="62">
        <f t="shared" si="6"/>
        <v>1499</v>
      </c>
      <c r="U43" s="62">
        <v>1092</v>
      </c>
      <c r="V43" s="62">
        <v>2201</v>
      </c>
      <c r="W43" s="62">
        <f t="shared" si="7"/>
        <v>3293</v>
      </c>
      <c r="X43" s="62">
        <v>1031</v>
      </c>
      <c r="Y43" s="62">
        <v>2138</v>
      </c>
      <c r="Z43" s="62">
        <f t="shared" si="8"/>
        <v>3169</v>
      </c>
      <c r="AA43" s="63">
        <v>958</v>
      </c>
      <c r="AB43" s="62">
        <v>2002</v>
      </c>
      <c r="AC43" s="62">
        <f t="shared" si="9"/>
        <v>2960</v>
      </c>
      <c r="AD43" s="63">
        <v>1013</v>
      </c>
      <c r="AE43" s="62">
        <v>2080</v>
      </c>
      <c r="AF43" s="62">
        <f t="shared" si="38"/>
        <v>3093</v>
      </c>
      <c r="AG43" s="63">
        <v>908</v>
      </c>
      <c r="AH43" s="62">
        <v>2041</v>
      </c>
      <c r="AI43" s="62">
        <f t="shared" si="10"/>
        <v>2949</v>
      </c>
      <c r="AJ43" s="64" t="s">
        <v>565</v>
      </c>
      <c r="AK43" s="65" t="s">
        <v>151</v>
      </c>
      <c r="AL43" s="65">
        <v>591361</v>
      </c>
      <c r="AM43" s="65">
        <v>744495</v>
      </c>
      <c r="AN43" s="65">
        <v>452059</v>
      </c>
      <c r="AO43" s="65">
        <v>898777</v>
      </c>
      <c r="AP43" s="65">
        <v>873695</v>
      </c>
      <c r="AQ43" s="65">
        <v>819582</v>
      </c>
      <c r="AR43" s="65">
        <v>852701</v>
      </c>
      <c r="AS43" s="65">
        <v>838900</v>
      </c>
      <c r="AT43" s="66" t="s">
        <v>151</v>
      </c>
      <c r="AU43" s="66">
        <f t="shared" si="12"/>
        <v>586.66765873015868</v>
      </c>
      <c r="AV43" s="66">
        <f t="shared" si="13"/>
        <v>314.26551287463064</v>
      </c>
      <c r="AW43" s="66">
        <f t="shared" si="14"/>
        <v>301.57371581054036</v>
      </c>
      <c r="AX43" s="66">
        <f t="shared" si="15"/>
        <v>272.93562101427273</v>
      </c>
      <c r="AY43" s="66">
        <f t="shared" si="16"/>
        <v>275.70053644682866</v>
      </c>
      <c r="AZ43" s="66">
        <f>AQ43/AC43</f>
        <v>276.88581081081082</v>
      </c>
      <c r="BA43" s="66">
        <f t="shared" si="60"/>
        <v>275.68735855156808</v>
      </c>
      <c r="BB43" s="66">
        <f t="shared" si="104"/>
        <v>284.46931163106137</v>
      </c>
      <c r="BC43" s="68">
        <f t="shared" si="17"/>
        <v>6071570</v>
      </c>
      <c r="BD43" s="68">
        <f>(SUM(AT43:BB43))/8</f>
        <v>323.52319073373394</v>
      </c>
      <c r="BE43" s="68">
        <f>BB43-AU43</f>
        <v>-302.1983470990973</v>
      </c>
      <c r="BF43" s="69">
        <f>(BB43/AU43)-1</f>
        <v>-0.51510994785907438</v>
      </c>
      <c r="BG43" s="70" t="str" cm="1">
        <f t="array" ref="BG43">_xlfn.IFS(BF43&gt;0%,"Incremento",BF43=0%,"Stazionarietà",BF43&lt;0%,"Diminuzione")</f>
        <v>Diminuzione</v>
      </c>
      <c r="BH43" s="95" t="s">
        <v>175</v>
      </c>
      <c r="BI43" s="72" t="s">
        <v>182</v>
      </c>
      <c r="BJ43" s="73" t="s">
        <v>151</v>
      </c>
      <c r="BK43" s="73">
        <v>29.4</v>
      </c>
      <c r="BL43" s="73">
        <v>73.7</v>
      </c>
      <c r="BM43" s="74">
        <v>61.4</v>
      </c>
      <c r="BN43" s="74">
        <v>116.2</v>
      </c>
      <c r="BO43" s="74">
        <v>110</v>
      </c>
      <c r="BP43" s="73">
        <v>96</v>
      </c>
      <c r="BQ43" s="73">
        <v>99</v>
      </c>
      <c r="BR43" s="73">
        <v>96</v>
      </c>
      <c r="BS43" s="62" t="s">
        <v>151</v>
      </c>
      <c r="BT43" s="62">
        <f t="shared" si="21"/>
        <v>2.9166666666666664E-2</v>
      </c>
      <c r="BU43" s="62">
        <f t="shared" si="22"/>
        <v>3.1110173068805404E-2</v>
      </c>
      <c r="BV43" s="62">
        <f t="shared" si="23"/>
        <v>4.09606404269513E-2</v>
      </c>
      <c r="BW43" s="62">
        <f t="shared" si="24"/>
        <v>3.5286972365624052E-2</v>
      </c>
      <c r="BX43" s="62">
        <f t="shared" si="25"/>
        <v>3.4711265383401704E-2</v>
      </c>
      <c r="BY43" s="62">
        <f t="shared" si="84"/>
        <v>3.2432432432432434E-2</v>
      </c>
      <c r="BZ43" s="62">
        <f t="shared" si="85"/>
        <v>3.2007759456838022E-2</v>
      </c>
      <c r="CA43" s="62">
        <f t="shared" si="105"/>
        <v>3.2553407934893183E-2</v>
      </c>
      <c r="CB43" s="62">
        <f t="shared" si="26"/>
        <v>681.7</v>
      </c>
      <c r="CC43" s="62">
        <f>(SUM(BS43:CA43))/8</f>
        <v>3.3528664716951602E-2</v>
      </c>
      <c r="CD43" s="75">
        <f>CA43-BT43</f>
        <v>3.3867412682265195E-3</v>
      </c>
      <c r="CE43" s="69">
        <f>(CA43/BT43)-1</f>
        <v>0.11611684348205209</v>
      </c>
      <c r="CF43" s="70" t="str" cm="1">
        <f t="array" ref="CF43">_xlfn.IFS(CE43&gt;0%,"Incremento",CE43=0%,"Stazionarietà",CE43&lt;0%,"Diminuzione")</f>
        <v>Incremento</v>
      </c>
      <c r="CG43" s="73" t="s">
        <v>151</v>
      </c>
      <c r="CH43" s="73">
        <v>375.9</v>
      </c>
      <c r="CI43" s="73">
        <v>406.1</v>
      </c>
      <c r="CJ43" s="74">
        <v>736.2</v>
      </c>
      <c r="CK43" s="74">
        <v>107.8</v>
      </c>
      <c r="CL43" s="74">
        <v>26</v>
      </c>
      <c r="CM43" s="73">
        <v>25</v>
      </c>
      <c r="CN43" s="73">
        <v>18</v>
      </c>
      <c r="CO43" s="73">
        <v>24</v>
      </c>
      <c r="CP43" s="73" t="s">
        <v>151</v>
      </c>
      <c r="CQ43" s="73">
        <f t="shared" si="30"/>
        <v>0.37291666666666662</v>
      </c>
      <c r="CR43" s="73">
        <f t="shared" si="31"/>
        <v>0.17142254115660618</v>
      </c>
      <c r="CS43" s="73">
        <f t="shared" si="32"/>
        <v>0.49112741827885259</v>
      </c>
      <c r="CT43" s="73">
        <f t="shared" si="33"/>
        <v>3.2736106893410263E-2</v>
      </c>
      <c r="CU43" s="73">
        <f t="shared" si="34"/>
        <v>8.2044809088040391E-3</v>
      </c>
      <c r="CV43" s="73">
        <f t="shared" si="90"/>
        <v>8.4459459459459464E-3</v>
      </c>
      <c r="CW43" s="73">
        <f t="shared" si="88"/>
        <v>5.8195926285160042E-3</v>
      </c>
      <c r="CX43" s="73">
        <f t="shared" si="106"/>
        <v>8.1383519837232958E-3</v>
      </c>
      <c r="CY43" s="73">
        <f t="shared" si="35"/>
        <v>1719</v>
      </c>
      <c r="CZ43" s="73">
        <f>(SUM(CP43:CX43))/8</f>
        <v>0.13735138805781563</v>
      </c>
      <c r="DA43" s="74">
        <f>CX43-CQ43</f>
        <v>-0.36477831468294331</v>
      </c>
      <c r="DB43" s="69">
        <f>(CX43/CQ43)-1</f>
        <v>-0.97817648630063025</v>
      </c>
      <c r="DC43" s="70" t="str" cm="1">
        <f t="array" ref="DC43">_xlfn.IFS(DB43&gt;0%,"Incremento",DB43=0%,"Stazionarietà",DB43&lt;0%,"Diminuzione")</f>
        <v>Diminuzione</v>
      </c>
      <c r="DD43" s="73" t="s">
        <v>151</v>
      </c>
      <c r="DE43" s="73" t="s">
        <v>151</v>
      </c>
      <c r="DF43" s="73" t="s">
        <v>151</v>
      </c>
      <c r="DG43" s="74" t="s">
        <v>151</v>
      </c>
      <c r="DH43" s="74" t="s">
        <v>151</v>
      </c>
      <c r="DI43" s="74" t="s">
        <v>151</v>
      </c>
      <c r="DJ43" s="73" t="s">
        <v>151</v>
      </c>
      <c r="DK43" s="73" t="s">
        <v>151</v>
      </c>
      <c r="DL43" s="73" t="s">
        <v>151</v>
      </c>
      <c r="DM43" s="73" t="s">
        <v>151</v>
      </c>
      <c r="DN43" s="73" t="s">
        <v>151</v>
      </c>
      <c r="DO43" s="73" t="s">
        <v>151</v>
      </c>
      <c r="DP43" s="73" t="s">
        <v>151</v>
      </c>
      <c r="DQ43" s="73" t="s">
        <v>151</v>
      </c>
      <c r="DR43" s="73" t="s">
        <v>151</v>
      </c>
      <c r="DS43" s="73" t="s">
        <v>151</v>
      </c>
      <c r="DT43" s="73" t="s">
        <v>151</v>
      </c>
      <c r="DU43" s="73" t="s">
        <v>151</v>
      </c>
      <c r="DV43" s="73">
        <f t="shared" si="47"/>
        <v>0</v>
      </c>
      <c r="DW43" s="73">
        <f>(SUM(DM43:DU43))/9</f>
        <v>0</v>
      </c>
      <c r="DX43" s="74" t="s">
        <v>593</v>
      </c>
      <c r="DY43" s="70" t="s">
        <v>151</v>
      </c>
      <c r="DZ43" s="70" t="s">
        <v>151</v>
      </c>
    </row>
    <row r="44" spans="1:130" x14ac:dyDescent="0.3">
      <c r="A44" s="88" t="s">
        <v>71</v>
      </c>
      <c r="B44" s="88" t="s">
        <v>173</v>
      </c>
      <c r="C44" s="88" t="s">
        <v>129</v>
      </c>
      <c r="D44" s="98">
        <v>2007000628</v>
      </c>
      <c r="E44" s="88" t="s">
        <v>88</v>
      </c>
      <c r="G44" s="61">
        <v>692</v>
      </c>
      <c r="H44" s="61">
        <v>392</v>
      </c>
      <c r="I44" s="62">
        <v>60.207000000000001</v>
      </c>
      <c r="J44" s="62">
        <v>1385.404</v>
      </c>
      <c r="K44" s="62">
        <f t="shared" si="3"/>
        <v>1445.6110000000001</v>
      </c>
      <c r="L44" s="62">
        <v>68.521000000000001</v>
      </c>
      <c r="M44" s="62">
        <v>2018.501</v>
      </c>
      <c r="N44" s="62">
        <f t="shared" si="4"/>
        <v>2087.0219999999999</v>
      </c>
      <c r="O44" s="62">
        <v>64.432000000000002</v>
      </c>
      <c r="P44" s="62">
        <v>1554.0650000000001</v>
      </c>
      <c r="Q44" s="62">
        <f t="shared" si="5"/>
        <v>1618.4970000000001</v>
      </c>
      <c r="R44" s="62">
        <v>37.502000000000002</v>
      </c>
      <c r="S44" s="62">
        <v>1238.1679999999999</v>
      </c>
      <c r="T44" s="62">
        <f>R44+S44</f>
        <v>1275.6699999999998</v>
      </c>
      <c r="U44" s="62">
        <v>61.29</v>
      </c>
      <c r="V44" s="62">
        <v>1739.7840000000001</v>
      </c>
      <c r="W44" s="62">
        <f t="shared" si="7"/>
        <v>1801.0740000000001</v>
      </c>
      <c r="X44" s="62">
        <v>72.991</v>
      </c>
      <c r="Y44" s="62">
        <v>2050.819</v>
      </c>
      <c r="Z44" s="62">
        <f t="shared" si="8"/>
        <v>2123.81</v>
      </c>
      <c r="AA44" s="63">
        <v>72.650999999999996</v>
      </c>
      <c r="AB44" s="62">
        <v>2320.5320000000002</v>
      </c>
      <c r="AC44" s="62">
        <f t="shared" si="9"/>
        <v>2393.183</v>
      </c>
      <c r="AD44" s="63">
        <v>66.283000000000001</v>
      </c>
      <c r="AE44" s="62">
        <v>2069.9690000000001</v>
      </c>
      <c r="AF44" s="62">
        <f t="shared" si="38"/>
        <v>2136.252</v>
      </c>
      <c r="AG44" s="63">
        <v>64.438999999999993</v>
      </c>
      <c r="AH44" s="62">
        <v>1936.1780000000001</v>
      </c>
      <c r="AI44" s="62">
        <f t="shared" si="10"/>
        <v>2000.6170000000002</v>
      </c>
      <c r="AJ44" s="64" t="s">
        <v>551</v>
      </c>
      <c r="AK44" s="65">
        <v>541665</v>
      </c>
      <c r="AL44" s="65">
        <v>771505</v>
      </c>
      <c r="AM44" s="65">
        <v>602014</v>
      </c>
      <c r="AN44" s="65">
        <v>477109</v>
      </c>
      <c r="AO44" s="65">
        <v>668186</v>
      </c>
      <c r="AP44" s="65">
        <v>783150</v>
      </c>
      <c r="AQ44" s="65">
        <v>871075</v>
      </c>
      <c r="AR44" s="65">
        <v>783499</v>
      </c>
      <c r="AS44" s="65">
        <v>732658</v>
      </c>
      <c r="AT44" s="66">
        <f t="shared" si="11"/>
        <v>374.69623570932981</v>
      </c>
      <c r="AU44" s="66">
        <f t="shared" si="12"/>
        <v>369.6678808369054</v>
      </c>
      <c r="AV44" s="66">
        <f t="shared" si="13"/>
        <v>371.95867524005297</v>
      </c>
      <c r="AW44" s="66">
        <f t="shared" si="14"/>
        <v>374.0066004530953</v>
      </c>
      <c r="AX44" s="66">
        <f t="shared" si="15"/>
        <v>370.99308523691974</v>
      </c>
      <c r="AY44" s="66">
        <f t="shared" si="16"/>
        <v>368.74767516868269</v>
      </c>
      <c r="AZ44" s="66">
        <f>AQ44/AC44</f>
        <v>363.98177657120243</v>
      </c>
      <c r="BA44" s="66">
        <f t="shared" si="60"/>
        <v>366.7633781033324</v>
      </c>
      <c r="BB44" s="66">
        <f>AS44/AI44</f>
        <v>366.21602235710282</v>
      </c>
      <c r="BC44" s="68">
        <f t="shared" si="17"/>
        <v>6230861</v>
      </c>
      <c r="BD44" s="68">
        <f>(SUM(AT44:BB44))/9</f>
        <v>369.67014774184707</v>
      </c>
      <c r="BE44" s="68">
        <f>BB44-AT44</f>
        <v>-8.4802133522269969</v>
      </c>
      <c r="BF44" s="69">
        <f t="shared" si="19"/>
        <v>-2.2632235245633736E-2</v>
      </c>
      <c r="BG44" s="70" t="str" cm="1">
        <f t="array" ref="BG44">_xlfn.IFS(BF44&gt;0%,"Incremento",BF44=0%,"Stazionarietà",BF44&lt;0%,"Diminuzione")</f>
        <v>Diminuzione</v>
      </c>
      <c r="BH44" s="95" t="s">
        <v>174</v>
      </c>
      <c r="BI44" s="72" t="s">
        <v>182</v>
      </c>
      <c r="BJ44" s="73">
        <v>150.249</v>
      </c>
      <c r="BK44" s="73">
        <v>176.125</v>
      </c>
      <c r="BL44" s="73">
        <v>128.71700000000001</v>
      </c>
      <c r="BM44" s="74">
        <v>111.849</v>
      </c>
      <c r="BN44" s="74">
        <v>169.02</v>
      </c>
      <c r="BO44" s="74">
        <v>210.55699999999999</v>
      </c>
      <c r="BP44" s="73">
        <v>255.31399999999999</v>
      </c>
      <c r="BQ44" s="73">
        <v>266.12299999999999</v>
      </c>
      <c r="BR44" s="73">
        <v>247.04599999999999</v>
      </c>
      <c r="BS44" s="62">
        <f t="shared" si="20"/>
        <v>0.10393459928016595</v>
      </c>
      <c r="BT44" s="62">
        <f t="shared" si="21"/>
        <v>8.4390581412174856E-2</v>
      </c>
      <c r="BU44" s="62">
        <f t="shared" si="22"/>
        <v>7.9528723253734793E-2</v>
      </c>
      <c r="BV44" s="62">
        <f t="shared" si="23"/>
        <v>8.7678631621030526E-2</v>
      </c>
      <c r="BW44" s="62">
        <f t="shared" si="24"/>
        <v>9.384400640950899E-2</v>
      </c>
      <c r="BX44" s="62">
        <f t="shared" si="25"/>
        <v>9.914116611184616E-2</v>
      </c>
      <c r="BY44" s="62">
        <f t="shared" si="84"/>
        <v>0.10668385994719166</v>
      </c>
      <c r="BZ44" s="62">
        <f t="shared" si="85"/>
        <v>0.12457472245783736</v>
      </c>
      <c r="CA44" s="62">
        <f t="shared" si="105"/>
        <v>0.12348490490683622</v>
      </c>
      <c r="CB44" s="62">
        <f t="shared" si="26"/>
        <v>1715.0000000000002</v>
      </c>
      <c r="CC44" s="62">
        <f>(SUM(BS44:CA44))/9</f>
        <v>0.10036235504448074</v>
      </c>
      <c r="CD44" s="75">
        <f t="shared" si="27"/>
        <v>1.9550305626670275E-2</v>
      </c>
      <c r="CE44" s="69">
        <f>(CA44/BS44)-1</f>
        <v>0.18810199646770664</v>
      </c>
      <c r="CF44" s="70" t="str" cm="1">
        <f t="array" ref="CF44">_xlfn.IFS(CE44&gt;0%,"Incremento",CE44=0%,"Stazionarietà",CE44&lt;0%,"Diminuzione")</f>
        <v>Incremento</v>
      </c>
      <c r="CG44" s="73">
        <v>443.137</v>
      </c>
      <c r="CH44" s="73">
        <v>402.44200000000001</v>
      </c>
      <c r="CI44" s="73">
        <v>463.90300000000002</v>
      </c>
      <c r="CJ44" s="74">
        <v>373.93200000000002</v>
      </c>
      <c r="CK44" s="74">
        <v>163.13200000000001</v>
      </c>
      <c r="CL44" s="74">
        <v>92.433999999999997</v>
      </c>
      <c r="CM44" s="73">
        <v>89.903000000000006</v>
      </c>
      <c r="CN44" s="73">
        <v>129.816</v>
      </c>
      <c r="CO44" s="73">
        <v>114.158</v>
      </c>
      <c r="CP44" s="73">
        <f t="shared" si="29"/>
        <v>0.30653958775908591</v>
      </c>
      <c r="CQ44" s="73">
        <f t="shared" si="30"/>
        <v>0.19283074160214891</v>
      </c>
      <c r="CR44" s="73">
        <f t="shared" si="31"/>
        <v>0.28662580159246509</v>
      </c>
      <c r="CS44" s="73">
        <f t="shared" si="32"/>
        <v>0.2931259651790824</v>
      </c>
      <c r="CT44" s="73">
        <f t="shared" si="33"/>
        <v>9.0574845897503378E-2</v>
      </c>
      <c r="CU44" s="73">
        <f t="shared" si="34"/>
        <v>4.3522725667550298E-2</v>
      </c>
      <c r="CV44" s="73">
        <f t="shared" si="90"/>
        <v>3.7566287241719502E-2</v>
      </c>
      <c r="CW44" s="73">
        <f t="shared" si="88"/>
        <v>6.0768111627279929E-2</v>
      </c>
      <c r="CX44" s="73">
        <f t="shared" si="106"/>
        <v>5.7061396559161495E-2</v>
      </c>
      <c r="CY44" s="73">
        <f t="shared" si="35"/>
        <v>2272.857</v>
      </c>
      <c r="CZ44" s="73">
        <f>(SUM(CP44:CX44))/9</f>
        <v>0.15206838479177745</v>
      </c>
      <c r="DA44" s="74">
        <f t="shared" si="36"/>
        <v>-0.24947819119992443</v>
      </c>
      <c r="DB44" s="69">
        <f>(CX44/CP44)-1</f>
        <v>-0.81385309161436303</v>
      </c>
      <c r="DC44" s="70" t="str" cm="1">
        <f t="array" ref="DC44">_xlfn.IFS(DB44&gt;0%,"Incremento",DB44=0%,"Stazionarietà",DB44&lt;0%,"Diminuzione")</f>
        <v>Diminuzione</v>
      </c>
      <c r="DD44" s="73" t="s">
        <v>151</v>
      </c>
      <c r="DE44" s="73" t="s">
        <v>151</v>
      </c>
      <c r="DF44" s="73" t="s">
        <v>151</v>
      </c>
      <c r="DG44" s="74" t="s">
        <v>151</v>
      </c>
      <c r="DH44" s="74" t="s">
        <v>151</v>
      </c>
      <c r="DI44" s="74" t="s">
        <v>151</v>
      </c>
      <c r="DJ44" s="73" t="s">
        <v>151</v>
      </c>
      <c r="DK44" s="73" t="s">
        <v>151</v>
      </c>
      <c r="DL44" s="73" t="s">
        <v>151</v>
      </c>
      <c r="DM44" s="73" t="s">
        <v>151</v>
      </c>
      <c r="DN44" s="73" t="s">
        <v>151</v>
      </c>
      <c r="DO44" s="73" t="s">
        <v>151</v>
      </c>
      <c r="DP44" s="73" t="s">
        <v>151</v>
      </c>
      <c r="DQ44" s="73" t="s">
        <v>151</v>
      </c>
      <c r="DR44" s="73" t="s">
        <v>151</v>
      </c>
      <c r="DS44" s="73" t="s">
        <v>151</v>
      </c>
      <c r="DT44" s="73" t="s">
        <v>151</v>
      </c>
      <c r="DU44" s="73" t="s">
        <v>151</v>
      </c>
      <c r="DV44" s="73">
        <f t="shared" si="47"/>
        <v>0</v>
      </c>
      <c r="DW44" s="73">
        <f>(SUM(DM44:DU44))/9</f>
        <v>0</v>
      </c>
      <c r="DX44" s="74" t="s">
        <v>593</v>
      </c>
      <c r="DY44" s="70" t="s">
        <v>151</v>
      </c>
      <c r="DZ44" s="70" t="s">
        <v>151</v>
      </c>
    </row>
    <row r="45" spans="1:130" x14ac:dyDescent="0.3">
      <c r="A45" s="88" t="s">
        <v>72</v>
      </c>
      <c r="B45" s="88" t="s">
        <v>73</v>
      </c>
      <c r="C45" s="88" t="s">
        <v>130</v>
      </c>
      <c r="D45" s="88">
        <v>2007000337</v>
      </c>
      <c r="E45" s="88" t="s">
        <v>89</v>
      </c>
      <c r="F45" s="48">
        <v>769</v>
      </c>
      <c r="G45" s="61" t="s">
        <v>151</v>
      </c>
      <c r="H45" s="61" t="s">
        <v>151</v>
      </c>
      <c r="I45" s="62">
        <v>0</v>
      </c>
      <c r="J45" s="62">
        <v>12012.079</v>
      </c>
      <c r="K45" s="62">
        <f t="shared" si="3"/>
        <v>12012.079</v>
      </c>
      <c r="L45" s="62">
        <v>0</v>
      </c>
      <c r="M45" s="62">
        <v>12970.252</v>
      </c>
      <c r="N45" s="62">
        <f t="shared" si="4"/>
        <v>12970.252</v>
      </c>
      <c r="O45" s="62">
        <v>0</v>
      </c>
      <c r="P45" s="62">
        <v>12028.819749</v>
      </c>
      <c r="Q45" s="62">
        <f t="shared" si="5"/>
        <v>12028.819749</v>
      </c>
      <c r="R45" s="62">
        <v>0</v>
      </c>
      <c r="S45" s="62">
        <v>12353.9966</v>
      </c>
      <c r="T45" s="62">
        <f t="shared" si="6"/>
        <v>12353.9966</v>
      </c>
      <c r="U45" s="62">
        <v>0</v>
      </c>
      <c r="V45" s="62">
        <v>13268.61094</v>
      </c>
      <c r="W45" s="62">
        <f t="shared" si="7"/>
        <v>13268.61094</v>
      </c>
      <c r="X45" s="62">
        <v>0</v>
      </c>
      <c r="Y45" s="62">
        <v>8122.47</v>
      </c>
      <c r="Z45" s="62">
        <f t="shared" si="8"/>
        <v>8122.47</v>
      </c>
      <c r="AA45" s="63">
        <v>0</v>
      </c>
      <c r="AB45" s="62">
        <v>6068.067</v>
      </c>
      <c r="AC45" s="62">
        <f t="shared" si="9"/>
        <v>6068.067</v>
      </c>
      <c r="AD45" s="63">
        <v>0</v>
      </c>
      <c r="AE45" s="62">
        <v>5269.0259999999998</v>
      </c>
      <c r="AF45" s="62">
        <f t="shared" si="38"/>
        <v>5269.0259999999998</v>
      </c>
      <c r="AG45" s="63">
        <v>0</v>
      </c>
      <c r="AH45" s="62">
        <v>4029.0889999999999</v>
      </c>
      <c r="AI45" s="62">
        <f t="shared" si="10"/>
        <v>4029.0889999999999</v>
      </c>
      <c r="AJ45" s="64" t="s">
        <v>576</v>
      </c>
      <c r="AK45" s="65">
        <v>11413628</v>
      </c>
      <c r="AL45" s="65">
        <v>12171522</v>
      </c>
      <c r="AM45" s="65">
        <v>11809184</v>
      </c>
      <c r="AN45" s="65">
        <v>11972979</v>
      </c>
      <c r="AO45" s="65">
        <v>13112244</v>
      </c>
      <c r="AP45" s="65">
        <v>8275345</v>
      </c>
      <c r="AQ45" s="65">
        <v>6485120</v>
      </c>
      <c r="AR45" s="65">
        <v>5477190</v>
      </c>
      <c r="AS45" s="65">
        <v>4562532</v>
      </c>
      <c r="AT45" s="66">
        <f t="shared" si="11"/>
        <v>950.17923208796742</v>
      </c>
      <c r="AU45" s="66">
        <f t="shared" si="12"/>
        <v>938.41831292098254</v>
      </c>
      <c r="AV45" s="66">
        <f t="shared" si="13"/>
        <v>981.7408728717329</v>
      </c>
      <c r="AW45" s="66">
        <f t="shared" si="14"/>
        <v>969.15835317616973</v>
      </c>
      <c r="AX45" s="66">
        <f t="shared" si="15"/>
        <v>988.21527432622122</v>
      </c>
      <c r="AY45" s="66">
        <f t="shared" si="16"/>
        <v>1018.8212452616015</v>
      </c>
      <c r="AZ45" s="66">
        <f>AQ45/AC45</f>
        <v>1068.7291356539076</v>
      </c>
      <c r="BA45" s="66">
        <f t="shared" si="60"/>
        <v>1039.507111940613</v>
      </c>
      <c r="BB45" s="66">
        <f t="shared" ref="BB45" si="107">AS45/AI45</f>
        <v>1132.3979192318661</v>
      </c>
      <c r="BC45" s="68">
        <f t="shared" si="17"/>
        <v>85279744</v>
      </c>
      <c r="BD45" s="68">
        <f t="shared" si="18"/>
        <v>1009.6852730523401</v>
      </c>
      <c r="BE45" s="68">
        <f>BB45-AT45</f>
        <v>182.21868714389871</v>
      </c>
      <c r="BF45" s="69">
        <f t="shared" si="19"/>
        <v>0.19177296344762551</v>
      </c>
      <c r="BG45" s="70" t="str" cm="1">
        <f t="array" ref="BG45">_xlfn.IFS(BF45&gt;0%,"Incremento",BF45=0%,"Stazionarietà",BF45&lt;0%,"Diminuzione")</f>
        <v>Incremento</v>
      </c>
      <c r="BH45" s="95" t="s">
        <v>154</v>
      </c>
      <c r="BI45" s="72" t="s">
        <v>181</v>
      </c>
      <c r="BJ45" s="73">
        <v>7544</v>
      </c>
      <c r="BK45" s="73">
        <v>7055</v>
      </c>
      <c r="BL45" s="73">
        <v>6276</v>
      </c>
      <c r="BM45" s="74">
        <v>6011</v>
      </c>
      <c r="BN45" s="74">
        <v>6325</v>
      </c>
      <c r="BO45" s="74">
        <v>4011</v>
      </c>
      <c r="BP45" s="73">
        <v>3009</v>
      </c>
      <c r="BQ45" s="73">
        <v>2541</v>
      </c>
      <c r="BR45" s="73">
        <v>1815</v>
      </c>
      <c r="BS45" s="62">
        <f t="shared" si="20"/>
        <v>0.62803449760861552</v>
      </c>
      <c r="BT45" s="62">
        <f t="shared" si="21"/>
        <v>0.54393700292022085</v>
      </c>
      <c r="BU45" s="62">
        <f t="shared" si="22"/>
        <v>0.52174694865817961</v>
      </c>
      <c r="BV45" s="62">
        <f t="shared" si="23"/>
        <v>0.48656319040916685</v>
      </c>
      <c r="BW45" s="62">
        <f t="shared" si="24"/>
        <v>0.47668893364959875</v>
      </c>
      <c r="BX45" s="62">
        <f t="shared" si="25"/>
        <v>0.49381530495034143</v>
      </c>
      <c r="BY45" s="62">
        <f t="shared" si="84"/>
        <v>0.49587455115442858</v>
      </c>
      <c r="BZ45" s="62">
        <f t="shared" si="85"/>
        <v>0.48225231760101395</v>
      </c>
      <c r="CA45" s="62">
        <f t="shared" si="105"/>
        <v>0.450474040161436</v>
      </c>
      <c r="CB45" s="62">
        <f t="shared" si="26"/>
        <v>44587</v>
      </c>
      <c r="CC45" s="62">
        <f>(SUM(BS45:CA45))/9</f>
        <v>0.50882075412366679</v>
      </c>
      <c r="CD45" s="75">
        <f t="shared" si="27"/>
        <v>-0.17756045744717952</v>
      </c>
      <c r="CE45" s="69">
        <f>(CA45/BS45)-1</f>
        <v>-0.28272405118394206</v>
      </c>
      <c r="CF45" s="70" t="str" cm="1">
        <f t="array" ref="CF45">_xlfn.IFS(CE45&gt;0%,"Incremento",CE45=0%,"Stazionarietà",CE45&lt;0%,"Diminuzione")</f>
        <v>Diminuzione</v>
      </c>
      <c r="CG45" s="73">
        <v>1744</v>
      </c>
      <c r="CH45" s="73">
        <v>2198</v>
      </c>
      <c r="CI45" s="73">
        <v>2441</v>
      </c>
      <c r="CJ45" s="74">
        <v>2304</v>
      </c>
      <c r="CK45" s="74">
        <v>2601</v>
      </c>
      <c r="CL45" s="74">
        <v>1449</v>
      </c>
      <c r="CM45" s="73">
        <v>792</v>
      </c>
      <c r="CN45" s="73">
        <v>446</v>
      </c>
      <c r="CO45" s="73">
        <v>311</v>
      </c>
      <c r="CP45" s="73">
        <f t="shared" si="29"/>
        <v>0.14518719032733635</v>
      </c>
      <c r="CQ45" s="73">
        <f t="shared" si="30"/>
        <v>0.1694647104774834</v>
      </c>
      <c r="CR45" s="73">
        <f t="shared" si="31"/>
        <v>0.20292930237007908</v>
      </c>
      <c r="CS45" s="73">
        <f t="shared" si="32"/>
        <v>0.18649835147275334</v>
      </c>
      <c r="CT45" s="73">
        <f t="shared" si="33"/>
        <v>0.19602654805100495</v>
      </c>
      <c r="CU45" s="73">
        <f t="shared" si="34"/>
        <v>0.17839401068886682</v>
      </c>
      <c r="CV45" s="73">
        <f t="shared" si="90"/>
        <v>0.13051932353416665</v>
      </c>
      <c r="CW45" s="73">
        <f t="shared" si="88"/>
        <v>8.4645625206632116E-2</v>
      </c>
      <c r="CX45" s="73">
        <f t="shared" si="106"/>
        <v>7.7188664732896192E-2</v>
      </c>
      <c r="CY45" s="73">
        <f t="shared" si="35"/>
        <v>14286</v>
      </c>
      <c r="CZ45" s="73">
        <f>(SUM(CP45:CX45))/9</f>
        <v>0.15231708076235762</v>
      </c>
      <c r="DA45" s="74">
        <f t="shared" si="36"/>
        <v>-6.7998525594440154E-2</v>
      </c>
      <c r="DB45" s="69">
        <f>(CX45/CP45)-1</f>
        <v>-0.46835072323620242</v>
      </c>
      <c r="DC45" s="70" t="str" cm="1">
        <f t="array" ref="DC45">_xlfn.IFS(DB45&gt;0%,"Incremento",DB45=0%,"Stazionarietà",DB45&lt;0%,"Diminuzione")</f>
        <v>Diminuzione</v>
      </c>
      <c r="DD45" s="73">
        <v>7239</v>
      </c>
      <c r="DE45" s="73">
        <v>7605</v>
      </c>
      <c r="DF45" s="73">
        <v>5560</v>
      </c>
      <c r="DG45" s="74">
        <v>5336</v>
      </c>
      <c r="DH45" s="74">
        <v>5494</v>
      </c>
      <c r="DI45" s="74">
        <v>2859</v>
      </c>
      <c r="DJ45" s="73">
        <v>1641</v>
      </c>
      <c r="DK45" s="73">
        <v>1512</v>
      </c>
      <c r="DL45" s="73">
        <v>963</v>
      </c>
      <c r="DM45" s="73">
        <f t="shared" si="49"/>
        <v>0.60264338920847926</v>
      </c>
      <c r="DN45" s="73">
        <f t="shared" si="50"/>
        <v>0.58634173029174763</v>
      </c>
      <c r="DO45" s="73">
        <f t="shared" si="51"/>
        <v>0.46222323686097494</v>
      </c>
      <c r="DP45" s="73">
        <f t="shared" si="52"/>
        <v>0.43192500150113361</v>
      </c>
      <c r="DQ45" s="73">
        <f t="shared" si="53"/>
        <v>0.41405992118116924</v>
      </c>
      <c r="DR45" s="73">
        <f t="shared" si="54"/>
        <v>0.351986526266025</v>
      </c>
      <c r="DS45" s="73">
        <f t="shared" ref="DS45" si="108">DJ45/AC45</f>
        <v>0.27043208323177709</v>
      </c>
      <c r="DT45" s="73">
        <f t="shared" ref="DT45" si="109">DK45/AF45</f>
        <v>0.28696005675432235</v>
      </c>
      <c r="DU45" s="73">
        <f t="shared" ref="DU45" si="110">DL45/AI45</f>
        <v>0.2390118461021834</v>
      </c>
      <c r="DV45" s="73">
        <f t="shared" si="47"/>
        <v>38209</v>
      </c>
      <c r="DW45" s="73">
        <f>(SUM(DM45:DU45))/9</f>
        <v>0.40506486571086803</v>
      </c>
      <c r="DX45" s="80">
        <f t="shared" si="48"/>
        <v>-0.36363154310629586</v>
      </c>
      <c r="DY45" s="70">
        <f>(DU45/DM45)-1</f>
        <v>-0.60339422885546767</v>
      </c>
      <c r="DZ45" s="70" t="str" cm="1">
        <f t="array" ref="DZ45">_xlfn.IFS(DY45&gt;0%,"Incremento",DY45=0%,"Stazionarietà",DY45&lt;0%,"Diminuzione")</f>
        <v>Diminuzione</v>
      </c>
    </row>
    <row r="46" spans="1:130" x14ac:dyDescent="0.3">
      <c r="A46" s="88" t="s">
        <v>74</v>
      </c>
      <c r="B46" s="88" t="s">
        <v>75</v>
      </c>
      <c r="C46" s="88" t="s">
        <v>131</v>
      </c>
      <c r="D46" s="88">
        <v>2008000062</v>
      </c>
      <c r="E46" s="88" t="s">
        <v>89</v>
      </c>
      <c r="F46" s="48">
        <v>1509</v>
      </c>
      <c r="G46" s="61" t="s">
        <v>151</v>
      </c>
      <c r="H46" s="61">
        <v>805</v>
      </c>
      <c r="I46" s="62">
        <v>0</v>
      </c>
      <c r="J46" s="62">
        <v>2211.04</v>
      </c>
      <c r="K46" s="62">
        <f t="shared" si="3"/>
        <v>2211.04</v>
      </c>
      <c r="L46" s="62">
        <v>0</v>
      </c>
      <c r="M46" s="62">
        <v>1775.52</v>
      </c>
      <c r="N46" s="62">
        <f t="shared" si="4"/>
        <v>1775.52</v>
      </c>
      <c r="O46" s="62">
        <v>0</v>
      </c>
      <c r="P46" s="62">
        <v>1889.68</v>
      </c>
      <c r="Q46" s="62">
        <f t="shared" si="5"/>
        <v>1889.68</v>
      </c>
      <c r="R46" s="62">
        <v>0</v>
      </c>
      <c r="S46" s="62">
        <v>1326.66</v>
      </c>
      <c r="T46" s="62">
        <f t="shared" si="6"/>
        <v>1326.66</v>
      </c>
      <c r="U46" s="62">
        <v>0</v>
      </c>
      <c r="V46" s="62">
        <v>2397.2199999999998</v>
      </c>
      <c r="W46" s="62">
        <f t="shared" si="7"/>
        <v>2397.2199999999998</v>
      </c>
      <c r="X46" s="62">
        <v>0</v>
      </c>
      <c r="Y46" s="62">
        <v>2800.1</v>
      </c>
      <c r="Z46" s="62">
        <f t="shared" si="8"/>
        <v>2800.1</v>
      </c>
      <c r="AA46" s="63">
        <v>0</v>
      </c>
      <c r="AB46" s="62">
        <v>4389.1499999999996</v>
      </c>
      <c r="AC46" s="62">
        <f t="shared" si="9"/>
        <v>4389.1499999999996</v>
      </c>
      <c r="AD46" s="63">
        <v>0</v>
      </c>
      <c r="AE46" s="62">
        <v>3603.9</v>
      </c>
      <c r="AF46" s="62">
        <f t="shared" si="38"/>
        <v>3603.9</v>
      </c>
      <c r="AG46" s="63">
        <v>0</v>
      </c>
      <c r="AH46" s="62">
        <v>4224.62</v>
      </c>
      <c r="AI46" s="62">
        <f t="shared" si="10"/>
        <v>4224.62</v>
      </c>
      <c r="AJ46" s="64" t="s">
        <v>547</v>
      </c>
      <c r="AK46" s="65">
        <v>843630</v>
      </c>
      <c r="AL46" s="65">
        <v>677711</v>
      </c>
      <c r="AM46" s="65">
        <v>735678</v>
      </c>
      <c r="AN46" s="65">
        <v>519255</v>
      </c>
      <c r="AO46" s="65">
        <v>919368</v>
      </c>
      <c r="AP46" s="65">
        <v>1052264</v>
      </c>
      <c r="AQ46" s="65">
        <v>1631899</v>
      </c>
      <c r="AR46" s="65">
        <v>1351087</v>
      </c>
      <c r="AS46" s="65">
        <v>1584402</v>
      </c>
      <c r="AT46" s="66">
        <f t="shared" si="11"/>
        <v>381.55347709675084</v>
      </c>
      <c r="AU46" s="66">
        <f t="shared" si="12"/>
        <v>381.69719293502749</v>
      </c>
      <c r="AV46" s="66">
        <f t="shared" si="13"/>
        <v>389.3135345666991</v>
      </c>
      <c r="AW46" s="66">
        <f t="shared" si="14"/>
        <v>391.4002080412464</v>
      </c>
      <c r="AX46" s="66">
        <f t="shared" si="15"/>
        <v>383.51423732490139</v>
      </c>
      <c r="AY46" s="66">
        <f t="shared" si="16"/>
        <v>375.79515017320813</v>
      </c>
      <c r="AZ46" s="66">
        <f t="shared" ref="AZ46:AZ52" si="111">AQ46/AC46</f>
        <v>371.8029686841416</v>
      </c>
      <c r="BA46" s="66">
        <f t="shared" si="60"/>
        <v>374.89580731984796</v>
      </c>
      <c r="BB46" s="66">
        <f>AS46/AI46</f>
        <v>375.04012195179683</v>
      </c>
      <c r="BC46" s="68">
        <f t="shared" si="17"/>
        <v>9315294</v>
      </c>
      <c r="BD46" s="68">
        <f t="shared" si="18"/>
        <v>380.55696645484659</v>
      </c>
      <c r="BE46" s="68">
        <f>BB46-AT46</f>
        <v>-6.513355144954005</v>
      </c>
      <c r="BF46" s="69">
        <f t="shared" si="19"/>
        <v>-1.7070621907351646E-2</v>
      </c>
      <c r="BG46" s="70" t="str" cm="1">
        <f t="array" ref="BG46">_xlfn.IFS(BF46&gt;0%,"Incremento",BF46=0%,"Stazionarietà",BF46&lt;0%,"Diminuzione")</f>
        <v>Diminuzione</v>
      </c>
      <c r="BH46" s="95" t="s">
        <v>176</v>
      </c>
      <c r="BI46" s="72" t="s">
        <v>180</v>
      </c>
      <c r="BJ46" s="73">
        <v>283.18</v>
      </c>
      <c r="BK46" s="73">
        <v>231.4</v>
      </c>
      <c r="BL46" s="73">
        <v>256</v>
      </c>
      <c r="BM46" s="74">
        <v>174.9</v>
      </c>
      <c r="BN46" s="74">
        <v>315.79000000000002</v>
      </c>
      <c r="BO46" s="74">
        <v>329.5</v>
      </c>
      <c r="BP46" s="73">
        <v>450.2</v>
      </c>
      <c r="BQ46" s="73">
        <v>316.2</v>
      </c>
      <c r="BR46" s="73">
        <v>383.8</v>
      </c>
      <c r="BS46" s="62">
        <f t="shared" si="20"/>
        <v>0.1280754757941964</v>
      </c>
      <c r="BT46" s="62">
        <f t="shared" si="21"/>
        <v>0.13032801658105794</v>
      </c>
      <c r="BU46" s="62">
        <f t="shared" si="22"/>
        <v>0.13547267262181956</v>
      </c>
      <c r="BV46" s="62">
        <f t="shared" si="23"/>
        <v>0.13183483334087107</v>
      </c>
      <c r="BW46" s="62">
        <f t="shared" si="24"/>
        <v>0.13173175595064285</v>
      </c>
      <c r="BX46" s="62">
        <f t="shared" si="25"/>
        <v>0.11767436877254384</v>
      </c>
      <c r="BY46" s="62">
        <f t="shared" si="84"/>
        <v>0.10257111285784264</v>
      </c>
      <c r="BZ46" s="62">
        <f t="shared" si="85"/>
        <v>8.7738283526179961E-2</v>
      </c>
      <c r="CA46" s="62">
        <f t="shared" si="105"/>
        <v>9.0848407667435183E-2</v>
      </c>
      <c r="CB46" s="62">
        <f t="shared" si="26"/>
        <v>2740.9700000000003</v>
      </c>
      <c r="CC46" s="62">
        <f>(SUM(BS46:CA46))/9</f>
        <v>0.11736388079028773</v>
      </c>
      <c r="CD46" s="75">
        <f t="shared" si="27"/>
        <v>-3.7227068126761215E-2</v>
      </c>
      <c r="CE46" s="69">
        <f>(CA46/BS46)-1</f>
        <v>-0.29066507772792616</v>
      </c>
      <c r="CF46" s="70" t="str" cm="1">
        <f t="array" ref="CF46">_xlfn.IFS(CE46&gt;0%,"Incremento",CE46=0%,"Stazionarietà",CE46&lt;0%,"Diminuzione")</f>
        <v>Diminuzione</v>
      </c>
      <c r="CG46" s="73">
        <v>1214.5999999999999</v>
      </c>
      <c r="CH46" s="73">
        <v>807.7</v>
      </c>
      <c r="CI46" s="73">
        <v>1303.8</v>
      </c>
      <c r="CJ46" s="74">
        <v>908.9</v>
      </c>
      <c r="CK46" s="74">
        <v>1038</v>
      </c>
      <c r="CL46" s="74">
        <v>658.3</v>
      </c>
      <c r="CM46" s="73">
        <v>431.3</v>
      </c>
      <c r="CN46" s="73">
        <v>401.3</v>
      </c>
      <c r="CO46" s="73">
        <v>342.2</v>
      </c>
      <c r="CP46" s="73">
        <f t="shared" si="29"/>
        <v>0.54933424994572688</v>
      </c>
      <c r="CQ46" s="73">
        <f t="shared" si="30"/>
        <v>0.454908984410201</v>
      </c>
      <c r="CR46" s="73">
        <f t="shared" si="31"/>
        <v>0.68995808814190762</v>
      </c>
      <c r="CS46" s="73">
        <f t="shared" si="32"/>
        <v>0.68510394524595597</v>
      </c>
      <c r="CT46" s="73">
        <f t="shared" si="33"/>
        <v>0.43300156014049612</v>
      </c>
      <c r="CU46" s="73">
        <f t="shared" si="34"/>
        <v>0.23509874647334023</v>
      </c>
      <c r="CV46" s="73">
        <f t="shared" si="90"/>
        <v>9.8265039928004297E-2</v>
      </c>
      <c r="CW46" s="73">
        <f t="shared" si="88"/>
        <v>0.11135159133161297</v>
      </c>
      <c r="CX46" s="73">
        <f t="shared" si="106"/>
        <v>8.1001368170391649E-2</v>
      </c>
      <c r="CY46" s="73">
        <f t="shared" si="35"/>
        <v>7106.1</v>
      </c>
      <c r="CZ46" s="73">
        <f>(SUM(CP46:CX46))/9</f>
        <v>0.37089150819862632</v>
      </c>
      <c r="DA46" s="74">
        <f t="shared" si="36"/>
        <v>-0.46833288177533522</v>
      </c>
      <c r="DB46" s="69">
        <f>(CX46/CP46)-1</f>
        <v>-0.85254629912772706</v>
      </c>
      <c r="DC46" s="70" t="str" cm="1">
        <f t="array" ref="DC46">_xlfn.IFS(DB46&gt;0%,"Incremento",DB46=0%,"Stazionarietà",DB46&lt;0%,"Diminuzione")</f>
        <v>Diminuzione</v>
      </c>
      <c r="DD46" s="73" t="s">
        <v>151</v>
      </c>
      <c r="DE46" s="73" t="s">
        <v>151</v>
      </c>
      <c r="DF46" s="73" t="s">
        <v>151</v>
      </c>
      <c r="DG46" s="74" t="s">
        <v>151</v>
      </c>
      <c r="DH46" s="74" t="s">
        <v>151</v>
      </c>
      <c r="DI46" s="74" t="s">
        <v>151</v>
      </c>
      <c r="DJ46" s="73" t="s">
        <v>151</v>
      </c>
      <c r="DK46" s="73" t="s">
        <v>151</v>
      </c>
      <c r="DL46" s="73" t="s">
        <v>151</v>
      </c>
      <c r="DM46" s="73" t="s">
        <v>151</v>
      </c>
      <c r="DN46" s="73" t="s">
        <v>151</v>
      </c>
      <c r="DO46" s="73" t="s">
        <v>151</v>
      </c>
      <c r="DP46" s="73" t="s">
        <v>151</v>
      </c>
      <c r="DQ46" s="73" t="s">
        <v>151</v>
      </c>
      <c r="DR46" s="73" t="s">
        <v>151</v>
      </c>
      <c r="DS46" s="73" t="s">
        <v>151</v>
      </c>
      <c r="DT46" s="73" t="s">
        <v>151</v>
      </c>
      <c r="DU46" s="73" t="s">
        <v>151</v>
      </c>
      <c r="DV46" s="73">
        <f t="shared" si="47"/>
        <v>0</v>
      </c>
      <c r="DW46" s="73">
        <f>(SUM(DM46:DU46))/9</f>
        <v>0</v>
      </c>
      <c r="DX46" s="74" t="s">
        <v>593</v>
      </c>
      <c r="DY46" s="70" t="s">
        <v>151</v>
      </c>
      <c r="DZ46" s="70" t="s">
        <v>151</v>
      </c>
    </row>
    <row r="47" spans="1:130" x14ac:dyDescent="0.3">
      <c r="A47" s="88" t="s">
        <v>76</v>
      </c>
      <c r="B47" s="88" t="s">
        <v>77</v>
      </c>
      <c r="C47" s="88" t="s">
        <v>132</v>
      </c>
      <c r="D47" s="88">
        <v>2010000204</v>
      </c>
      <c r="E47" s="88" t="s">
        <v>89</v>
      </c>
      <c r="F47" s="48">
        <v>826</v>
      </c>
      <c r="G47" s="61" t="s">
        <v>151</v>
      </c>
      <c r="H47" s="61">
        <v>480</v>
      </c>
      <c r="I47" s="62">
        <v>0</v>
      </c>
      <c r="J47" s="62">
        <v>3467.393</v>
      </c>
      <c r="K47" s="62">
        <f t="shared" si="3"/>
        <v>3467.393</v>
      </c>
      <c r="L47" s="62">
        <v>0</v>
      </c>
      <c r="M47" s="62">
        <v>3325.6790000000001</v>
      </c>
      <c r="N47" s="62">
        <f t="shared" si="4"/>
        <v>3325.6790000000001</v>
      </c>
      <c r="O47" s="62">
        <v>0</v>
      </c>
      <c r="P47" s="62">
        <v>3126.393</v>
      </c>
      <c r="Q47" s="62">
        <f t="shared" si="5"/>
        <v>3126.393</v>
      </c>
      <c r="R47" s="62">
        <v>0</v>
      </c>
      <c r="S47" s="62">
        <v>2868.393</v>
      </c>
      <c r="T47" s="62">
        <f t="shared" si="6"/>
        <v>2868.393</v>
      </c>
      <c r="U47" s="62">
        <v>0</v>
      </c>
      <c r="V47" s="62">
        <v>2892.663</v>
      </c>
      <c r="W47" s="62">
        <f t="shared" si="7"/>
        <v>2892.663</v>
      </c>
      <c r="X47" s="62">
        <v>0</v>
      </c>
      <c r="Y47" s="62">
        <v>2958.4740000000002</v>
      </c>
      <c r="Z47" s="62">
        <f t="shared" ref="Z47:Z52" si="112">X47+Y47</f>
        <v>2958.4740000000002</v>
      </c>
      <c r="AA47" s="63">
        <v>0</v>
      </c>
      <c r="AB47" s="62">
        <v>2719.6819999999998</v>
      </c>
      <c r="AC47" s="62">
        <f t="shared" si="9"/>
        <v>2719.6819999999998</v>
      </c>
      <c r="AD47" s="63">
        <v>0</v>
      </c>
      <c r="AE47" s="62">
        <v>2525.145</v>
      </c>
      <c r="AF47" s="62">
        <f t="shared" si="38"/>
        <v>2525.145</v>
      </c>
      <c r="AG47" s="63">
        <v>0</v>
      </c>
      <c r="AH47" s="62">
        <v>2919.4830000000002</v>
      </c>
      <c r="AI47" s="62">
        <f t="shared" si="10"/>
        <v>2919.4830000000002</v>
      </c>
      <c r="AJ47" s="99" t="s">
        <v>566</v>
      </c>
      <c r="AK47" s="65">
        <v>1561487</v>
      </c>
      <c r="AL47" s="65">
        <v>1523453</v>
      </c>
      <c r="AM47" s="65">
        <v>1382429</v>
      </c>
      <c r="AN47" s="65">
        <v>1259142</v>
      </c>
      <c r="AO47" s="65">
        <v>1230604</v>
      </c>
      <c r="AP47" s="65">
        <v>1215501</v>
      </c>
      <c r="AQ47" s="65">
        <v>1130171</v>
      </c>
      <c r="AR47" s="65">
        <v>1008423</v>
      </c>
      <c r="AS47" s="65">
        <v>1154869</v>
      </c>
      <c r="AT47" s="66">
        <f t="shared" si="11"/>
        <v>450.3345885511103</v>
      </c>
      <c r="AU47" s="66">
        <f t="shared" si="12"/>
        <v>458.08780703128593</v>
      </c>
      <c r="AV47" s="66">
        <f t="shared" si="13"/>
        <v>442.18017376574215</v>
      </c>
      <c r="AW47" s="66">
        <f t="shared" si="14"/>
        <v>438.97122883788938</v>
      </c>
      <c r="AX47" s="66">
        <f t="shared" si="15"/>
        <v>425.42252588704594</v>
      </c>
      <c r="AY47" s="66">
        <f t="shared" si="16"/>
        <v>410.85404164444236</v>
      </c>
      <c r="AZ47" s="66">
        <f t="shared" si="111"/>
        <v>415.55262710861052</v>
      </c>
      <c r="BA47" s="66">
        <f t="shared" si="60"/>
        <v>399.3525124299793</v>
      </c>
      <c r="BB47" s="66">
        <f t="shared" ref="BB47:BB52" si="113">AS47/AI47</f>
        <v>395.57312030931502</v>
      </c>
      <c r="BC47" s="68">
        <f t="shared" si="17"/>
        <v>11466079</v>
      </c>
      <c r="BD47" s="68">
        <f t="shared" si="18"/>
        <v>426.25873617393569</v>
      </c>
      <c r="BE47" s="68">
        <f>BB47-AT47</f>
        <v>-54.761468241795285</v>
      </c>
      <c r="BF47" s="69">
        <f t="shared" si="19"/>
        <v>-0.12160173709504041</v>
      </c>
      <c r="BG47" s="70" t="str" cm="1">
        <f t="array" ref="BG47">_xlfn.IFS(BF47&gt;0%,"Incremento",BF47=0%,"Stazionarietà",BF47&lt;0%,"Diminuzione")</f>
        <v>Diminuzione</v>
      </c>
      <c r="BH47" s="95" t="s">
        <v>177</v>
      </c>
      <c r="BI47" s="72" t="s">
        <v>182</v>
      </c>
      <c r="BJ47" s="73">
        <v>535.9</v>
      </c>
      <c r="BK47" s="73">
        <v>497.36</v>
      </c>
      <c r="BL47" s="73">
        <v>459.69</v>
      </c>
      <c r="BM47" s="74">
        <v>411.8</v>
      </c>
      <c r="BN47" s="74">
        <v>386.1</v>
      </c>
      <c r="BO47" s="74">
        <v>393.9</v>
      </c>
      <c r="BP47" s="73">
        <v>364.2</v>
      </c>
      <c r="BQ47" s="73">
        <v>339.5</v>
      </c>
      <c r="BR47" s="73">
        <v>393</v>
      </c>
      <c r="BS47" s="62">
        <f t="shared" si="20"/>
        <v>0.1545541563935787</v>
      </c>
      <c r="BT47" s="62">
        <f t="shared" si="21"/>
        <v>0.14955141491406718</v>
      </c>
      <c r="BU47" s="62">
        <f t="shared" si="22"/>
        <v>0.14703525756358846</v>
      </c>
      <c r="BV47" s="62">
        <f t="shared" si="23"/>
        <v>0.14356470678878383</v>
      </c>
      <c r="BW47" s="62">
        <f t="shared" si="24"/>
        <v>0.133475624364124</v>
      </c>
      <c r="BX47" s="62">
        <f t="shared" si="25"/>
        <v>0.13314296492042857</v>
      </c>
      <c r="BY47" s="62">
        <f t="shared" si="84"/>
        <v>0.1339127147953327</v>
      </c>
      <c r="BZ47" s="62">
        <f t="shared" si="85"/>
        <v>0.13444772478412131</v>
      </c>
      <c r="CA47" s="62">
        <f t="shared" si="105"/>
        <v>0.13461287495080465</v>
      </c>
      <c r="CB47" s="62">
        <f t="shared" si="26"/>
        <v>3781.45</v>
      </c>
      <c r="CC47" s="62">
        <f>(SUM(BS47:CA47))/9</f>
        <v>0.14047749327498105</v>
      </c>
      <c r="CD47" s="75">
        <f t="shared" si="27"/>
        <v>-1.9941281442774045E-2</v>
      </c>
      <c r="CE47" s="69">
        <f>(CA47/BS47)-1</f>
        <v>-0.12902455623382092</v>
      </c>
      <c r="CF47" s="70" t="str" cm="1">
        <f t="array" ref="CF47">_xlfn.IFS(CE47&gt;0%,"Incremento",CE47=0%,"Stazionarietà",CE47&lt;0%,"Diminuzione")</f>
        <v>Diminuzione</v>
      </c>
      <c r="CG47" s="73">
        <v>53.01</v>
      </c>
      <c r="CH47" s="73">
        <v>61.81</v>
      </c>
      <c r="CI47" s="73">
        <v>54.72</v>
      </c>
      <c r="CJ47" s="74">
        <v>47.7</v>
      </c>
      <c r="CK47" s="74">
        <v>43.7</v>
      </c>
      <c r="CL47" s="74">
        <v>46.3</v>
      </c>
      <c r="CM47" s="73">
        <v>44</v>
      </c>
      <c r="CN47" s="73">
        <v>41.7</v>
      </c>
      <c r="CO47" s="73">
        <v>45.3</v>
      </c>
      <c r="CP47" s="73">
        <f t="shared" si="29"/>
        <v>1.5288142993886185E-2</v>
      </c>
      <c r="CQ47" s="73">
        <f t="shared" si="30"/>
        <v>1.8585678293064362E-2</v>
      </c>
      <c r="CR47" s="73">
        <f t="shared" si="31"/>
        <v>1.7502598041896845E-2</v>
      </c>
      <c r="CS47" s="73">
        <f t="shared" si="32"/>
        <v>1.6629520431823672E-2</v>
      </c>
      <c r="CT47" s="73">
        <f t="shared" si="33"/>
        <v>1.5107186699591347E-2</v>
      </c>
      <c r="CU47" s="73">
        <f t="shared" si="34"/>
        <v>1.564996008077137E-2</v>
      </c>
      <c r="CV47" s="73">
        <f t="shared" si="90"/>
        <v>1.6178362029090166E-2</v>
      </c>
      <c r="CW47" s="73">
        <f t="shared" si="88"/>
        <v>1.6513903161996638E-2</v>
      </c>
      <c r="CX47" s="73">
        <f t="shared" si="106"/>
        <v>1.5516445891275954E-2</v>
      </c>
      <c r="CY47" s="73">
        <f t="shared" si="35"/>
        <v>438.24</v>
      </c>
      <c r="CZ47" s="73">
        <f>(SUM(CP47:CX47))/9</f>
        <v>1.633019973593295E-2</v>
      </c>
      <c r="DA47" s="74">
        <f t="shared" si="36"/>
        <v>2.283028973897698E-4</v>
      </c>
      <c r="DB47" s="69">
        <f>(CX47/CP47)-1</f>
        <v>1.4933330848688975E-2</v>
      </c>
      <c r="DC47" s="70" t="str" cm="1">
        <f t="array" ref="DC47">_xlfn.IFS(DB47&gt;0%,"Incremento",DB47=0%,"Stazionarietà",DB47&lt;0%,"Diminuzione")</f>
        <v>Incremento</v>
      </c>
      <c r="DD47" s="73">
        <v>421.5</v>
      </c>
      <c r="DE47" s="73">
        <v>288.20999999999998</v>
      </c>
      <c r="DF47" s="73">
        <v>164.44</v>
      </c>
      <c r="DG47" s="74">
        <v>43.1</v>
      </c>
      <c r="DH47" s="74">
        <v>46.1</v>
      </c>
      <c r="DI47" s="74">
        <v>47.8</v>
      </c>
      <c r="DJ47" s="73">
        <v>42.9</v>
      </c>
      <c r="DK47" s="73">
        <v>33.799999999999997</v>
      </c>
      <c r="DL47" s="73">
        <v>42.4</v>
      </c>
      <c r="DM47" s="73">
        <f t="shared" si="49"/>
        <v>0.12156106907985337</v>
      </c>
      <c r="DN47" s="73">
        <f t="shared" si="50"/>
        <v>8.6662001955089468E-2</v>
      </c>
      <c r="DO47" s="73">
        <f t="shared" si="51"/>
        <v>5.2597354203390297E-2</v>
      </c>
      <c r="DP47" s="73">
        <f t="shared" si="52"/>
        <v>1.502583502330399E-2</v>
      </c>
      <c r="DQ47" s="73">
        <f t="shared" si="53"/>
        <v>1.5936872010324052E-2</v>
      </c>
      <c r="DR47" s="73">
        <f t="shared" si="54"/>
        <v>1.6156978225936747E-2</v>
      </c>
      <c r="DS47" s="73">
        <f t="shared" ref="DS47" si="114">DJ47/AC47</f>
        <v>1.5773902978362911E-2</v>
      </c>
      <c r="DT47" s="73">
        <f t="shared" ref="DT47" si="115">DK47/AF47</f>
        <v>1.338536994905243E-2</v>
      </c>
      <c r="DU47" s="73">
        <f t="shared" ref="DU47" si="116">DL47/AI47</f>
        <v>1.4523119333114801E-2</v>
      </c>
      <c r="DV47" s="73">
        <f t="shared" si="47"/>
        <v>1130.2500000000002</v>
      </c>
      <c r="DW47" s="73">
        <f>(SUM(DM47:DU47))/9</f>
        <v>3.9069166973158681E-2</v>
      </c>
      <c r="DX47" s="80">
        <f t="shared" si="48"/>
        <v>-0.10703794974673857</v>
      </c>
      <c r="DY47" s="70">
        <f>(DU47/DM47)-1</f>
        <v>-0.88052820328871428</v>
      </c>
      <c r="DZ47" s="70" t="str" cm="1">
        <f t="array" ref="DZ47">_xlfn.IFS(DY47&gt;0%,"Incremento",DY47=0%,"Stazionarietà",DY47&lt;0%,"Diminuzione")</f>
        <v>Diminuzione</v>
      </c>
    </row>
    <row r="48" spans="1:130" ht="14.4" customHeight="1" x14ac:dyDescent="0.3">
      <c r="A48" s="88" t="s">
        <v>33</v>
      </c>
      <c r="B48" s="88" t="s">
        <v>78</v>
      </c>
      <c r="C48" s="88" t="s">
        <v>133</v>
      </c>
      <c r="D48" s="88">
        <v>2012000027</v>
      </c>
      <c r="E48" s="88" t="s">
        <v>89</v>
      </c>
      <c r="F48" s="48">
        <v>1689</v>
      </c>
      <c r="G48" s="61" t="s">
        <v>151</v>
      </c>
      <c r="H48" s="61">
        <v>790</v>
      </c>
      <c r="I48" s="62" t="s">
        <v>151</v>
      </c>
      <c r="J48" s="62" t="s">
        <v>151</v>
      </c>
      <c r="K48" s="62" t="s">
        <v>151</v>
      </c>
      <c r="L48" s="62" t="s">
        <v>151</v>
      </c>
      <c r="M48" s="62" t="s">
        <v>151</v>
      </c>
      <c r="N48" s="62" t="s">
        <v>151</v>
      </c>
      <c r="O48" s="62">
        <v>0</v>
      </c>
      <c r="P48" s="62">
        <v>1141</v>
      </c>
      <c r="Q48" s="62">
        <f t="shared" si="5"/>
        <v>1141</v>
      </c>
      <c r="R48" s="62">
        <v>0</v>
      </c>
      <c r="S48" s="62">
        <v>660</v>
      </c>
      <c r="T48" s="62">
        <f t="shared" si="6"/>
        <v>660</v>
      </c>
      <c r="U48" s="62">
        <v>0</v>
      </c>
      <c r="V48" s="62">
        <v>796.21199999999999</v>
      </c>
      <c r="W48" s="62">
        <f t="shared" si="7"/>
        <v>796.21199999999999</v>
      </c>
      <c r="X48" s="62">
        <v>0</v>
      </c>
      <c r="Y48" s="62">
        <v>1426.7570000000001</v>
      </c>
      <c r="Z48" s="62">
        <f t="shared" si="112"/>
        <v>1426.7570000000001</v>
      </c>
      <c r="AA48" s="63">
        <v>0</v>
      </c>
      <c r="AB48" s="62">
        <v>1767.31</v>
      </c>
      <c r="AC48" s="62">
        <f t="shared" si="9"/>
        <v>1767.31</v>
      </c>
      <c r="AD48" s="63">
        <v>0</v>
      </c>
      <c r="AE48" s="62">
        <v>1957.77</v>
      </c>
      <c r="AF48" s="62">
        <f t="shared" si="38"/>
        <v>1957.77</v>
      </c>
      <c r="AG48" s="63">
        <v>0</v>
      </c>
      <c r="AH48" s="62">
        <v>2218.4589999999998</v>
      </c>
      <c r="AI48" s="62">
        <f t="shared" si="10"/>
        <v>2218.4589999999998</v>
      </c>
      <c r="AJ48" s="64" t="s">
        <v>575</v>
      </c>
      <c r="AK48" s="65" t="s">
        <v>151</v>
      </c>
      <c r="AL48" s="65" t="s">
        <v>151</v>
      </c>
      <c r="AM48" s="65">
        <v>452297</v>
      </c>
      <c r="AN48" s="65">
        <v>272919</v>
      </c>
      <c r="AO48" s="65">
        <v>318657</v>
      </c>
      <c r="AP48" s="65">
        <v>561843</v>
      </c>
      <c r="AQ48" s="65">
        <v>698122</v>
      </c>
      <c r="AR48" s="65">
        <v>766552</v>
      </c>
      <c r="AS48" s="65">
        <v>874398</v>
      </c>
      <c r="AT48" s="66" t="s">
        <v>151</v>
      </c>
      <c r="AU48" s="66" t="s">
        <v>151</v>
      </c>
      <c r="AV48" s="66">
        <f t="shared" si="13"/>
        <v>396.4040315512708</v>
      </c>
      <c r="AW48" s="66">
        <f t="shared" si="14"/>
        <v>413.51363636363635</v>
      </c>
      <c r="AX48" s="66">
        <f t="shared" si="15"/>
        <v>400.21627405766304</v>
      </c>
      <c r="AY48" s="66">
        <f t="shared" si="16"/>
        <v>393.79025300033572</v>
      </c>
      <c r="AZ48" s="66">
        <f t="shared" si="111"/>
        <v>395.01954948481028</v>
      </c>
      <c r="BA48" s="66">
        <f t="shared" si="60"/>
        <v>391.54343972989676</v>
      </c>
      <c r="BB48" s="66">
        <f t="shared" si="113"/>
        <v>394.14656750474091</v>
      </c>
      <c r="BC48" s="68">
        <f t="shared" si="17"/>
        <v>3944788</v>
      </c>
      <c r="BD48" s="68">
        <f>(SUM(AT48:BB48))/7</f>
        <v>397.80482167033631</v>
      </c>
      <c r="BE48" s="68">
        <f>BB48-AV48</f>
        <v>-2.2574640465298899</v>
      </c>
      <c r="BF48" s="69">
        <f>(BB48/AV48)-1</f>
        <v>-5.6948564263981094E-3</v>
      </c>
      <c r="BG48" s="70" t="str" cm="1">
        <f t="array" ref="BG48">_xlfn.IFS(BF48&gt;0%,"Incremento",BF48=0%,"Stazionarietà",BF48&lt;0%,"Diminuzione")</f>
        <v>Diminuzione</v>
      </c>
      <c r="BH48" s="91" t="s">
        <v>162</v>
      </c>
      <c r="BI48" s="72" t="s">
        <v>180</v>
      </c>
      <c r="BJ48" s="73" t="s">
        <v>151</v>
      </c>
      <c r="BK48" s="73" t="s">
        <v>151</v>
      </c>
      <c r="BL48" s="73">
        <v>131.38999999999999</v>
      </c>
      <c r="BM48" s="74">
        <v>82.265000000000001</v>
      </c>
      <c r="BN48" s="74">
        <v>91.95</v>
      </c>
      <c r="BO48" s="74">
        <v>152.16800000000001</v>
      </c>
      <c r="BP48" s="73">
        <v>181.81399999999999</v>
      </c>
      <c r="BQ48" s="73">
        <v>195.32749999999999</v>
      </c>
      <c r="BR48" s="73">
        <v>223.8246</v>
      </c>
      <c r="BS48" s="62" t="s">
        <v>151</v>
      </c>
      <c r="BT48" s="62" t="s">
        <v>151</v>
      </c>
      <c r="BU48" s="62">
        <f t="shared" si="22"/>
        <v>0.11515337423312882</v>
      </c>
      <c r="BV48" s="62">
        <f t="shared" si="23"/>
        <v>0.12464393939393939</v>
      </c>
      <c r="BW48" s="62">
        <f t="shared" si="24"/>
        <v>0.11548431824689907</v>
      </c>
      <c r="BX48" s="62">
        <f t="shared" si="25"/>
        <v>0.1066530600515715</v>
      </c>
      <c r="BY48" s="62">
        <f t="shared" si="84"/>
        <v>0.10287612246861048</v>
      </c>
      <c r="BZ48" s="62">
        <f t="shared" si="85"/>
        <v>9.9770402039054629E-2</v>
      </c>
      <c r="CA48" s="62">
        <f t="shared" si="105"/>
        <v>0.10089192543112134</v>
      </c>
      <c r="CB48" s="62">
        <f t="shared" si="26"/>
        <v>1058.7391</v>
      </c>
      <c r="CC48" s="62">
        <f>(SUM(BS48:CA48))/7</f>
        <v>0.10935330598061789</v>
      </c>
      <c r="CD48" s="75">
        <f>CA48-BU48</f>
        <v>-1.4261448802007484E-2</v>
      </c>
      <c r="CE48" s="69">
        <f>(CA48/BU48)-1</f>
        <v>-0.12384742433283003</v>
      </c>
      <c r="CF48" s="70" t="str" cm="1">
        <f t="array" ref="CF48">_xlfn.IFS(CE48&gt;0%,"Incremento",CE48=0%,"Stazionarietà",CE48&lt;0%,"Diminuzione")</f>
        <v>Diminuzione</v>
      </c>
      <c r="CG48" s="73" t="s">
        <v>151</v>
      </c>
      <c r="CH48" s="73" t="s">
        <v>151</v>
      </c>
      <c r="CI48" s="73">
        <v>393.46499999999997</v>
      </c>
      <c r="CJ48" s="74">
        <v>215.42099999999999</v>
      </c>
      <c r="CK48" s="74">
        <v>194.702</v>
      </c>
      <c r="CL48" s="74">
        <v>9.5210000000000008</v>
      </c>
      <c r="CM48" s="73">
        <v>255.76349999999999</v>
      </c>
      <c r="CN48" s="73">
        <v>263.49759999999998</v>
      </c>
      <c r="CO48" s="73">
        <v>238.36199999999999</v>
      </c>
      <c r="CP48" s="73" t="s">
        <v>151</v>
      </c>
      <c r="CQ48" s="73" t="s">
        <v>151</v>
      </c>
      <c r="CR48" s="73">
        <f t="shared" si="31"/>
        <v>0.34484224364592458</v>
      </c>
      <c r="CS48" s="73">
        <f t="shared" si="32"/>
        <v>0.32639545454545454</v>
      </c>
      <c r="CT48" s="73">
        <f t="shared" si="33"/>
        <v>0.24453537500062797</v>
      </c>
      <c r="CU48" s="73">
        <f t="shared" si="34"/>
        <v>6.6731756003299792E-3</v>
      </c>
      <c r="CV48" s="73">
        <f t="shared" si="90"/>
        <v>0.14471909285863827</v>
      </c>
      <c r="CW48" s="73">
        <f t="shared" si="88"/>
        <v>0.13459068225583187</v>
      </c>
      <c r="CX48" s="73">
        <f t="shared" si="106"/>
        <v>0.10744485248544147</v>
      </c>
      <c r="CY48" s="73">
        <f t="shared" si="35"/>
        <v>1570.7320999999999</v>
      </c>
      <c r="CZ48" s="73">
        <f>(SUM(CP48:CX48))/7</f>
        <v>0.18702869662746407</v>
      </c>
      <c r="DA48" s="74">
        <f>CX48-CR48</f>
        <v>-0.23739739116048311</v>
      </c>
      <c r="DB48" s="69">
        <f>(CX48/CR48)-1</f>
        <v>-0.68842317185546686</v>
      </c>
      <c r="DC48" s="70" t="str" cm="1">
        <f t="array" ref="DC48">_xlfn.IFS(DB48&gt;0%,"Incremento",DB48=0%,"Stazionarietà",DB48&lt;0%,"Diminuzione")</f>
        <v>Diminuzione</v>
      </c>
      <c r="DD48" s="73" t="s">
        <v>151</v>
      </c>
      <c r="DE48" s="73" t="s">
        <v>151</v>
      </c>
      <c r="DF48" s="73" t="s">
        <v>151</v>
      </c>
      <c r="DG48" s="74" t="s">
        <v>151</v>
      </c>
      <c r="DH48" s="74" t="s">
        <v>151</v>
      </c>
      <c r="DI48" s="74" t="s">
        <v>151</v>
      </c>
      <c r="DJ48" s="73" t="s">
        <v>151</v>
      </c>
      <c r="DK48" s="73" t="s">
        <v>151</v>
      </c>
      <c r="DL48" s="73" t="s">
        <v>151</v>
      </c>
      <c r="DM48" s="73" t="s">
        <v>151</v>
      </c>
      <c r="DN48" s="73" t="s">
        <v>151</v>
      </c>
      <c r="DO48" s="73" t="s">
        <v>151</v>
      </c>
      <c r="DP48" s="73" t="s">
        <v>151</v>
      </c>
      <c r="DQ48" s="73" t="s">
        <v>151</v>
      </c>
      <c r="DR48" s="73" t="s">
        <v>151</v>
      </c>
      <c r="DS48" s="73" t="s">
        <v>151</v>
      </c>
      <c r="DT48" s="73" t="s">
        <v>151</v>
      </c>
      <c r="DU48" s="73" t="s">
        <v>151</v>
      </c>
      <c r="DV48" s="73">
        <f t="shared" si="47"/>
        <v>0</v>
      </c>
      <c r="DW48" s="73">
        <f t="shared" si="37"/>
        <v>0</v>
      </c>
      <c r="DX48" s="68" t="s">
        <v>151</v>
      </c>
      <c r="DY48" s="70" t="s">
        <v>151</v>
      </c>
      <c r="DZ48" s="70" t="s">
        <v>151</v>
      </c>
    </row>
    <row r="49" spans="1:253" x14ac:dyDescent="0.3">
      <c r="A49" s="88" t="s">
        <v>79</v>
      </c>
      <c r="B49" s="88" t="s">
        <v>80</v>
      </c>
      <c r="C49" s="88" t="s">
        <v>134</v>
      </c>
      <c r="D49" s="88">
        <v>2014000033</v>
      </c>
      <c r="E49" s="88" t="s">
        <v>89</v>
      </c>
      <c r="F49" s="48">
        <v>591</v>
      </c>
      <c r="G49" s="61">
        <v>188</v>
      </c>
      <c r="H49" s="61">
        <v>98</v>
      </c>
      <c r="I49" s="62">
        <v>0</v>
      </c>
      <c r="J49" s="62">
        <v>1115.7460000000001</v>
      </c>
      <c r="K49" s="62">
        <f t="shared" si="3"/>
        <v>1115.7460000000001</v>
      </c>
      <c r="L49" s="62">
        <v>0</v>
      </c>
      <c r="M49" s="62">
        <v>1138.7729999999999</v>
      </c>
      <c r="N49" s="62">
        <f t="shared" si="4"/>
        <v>1138.7729999999999</v>
      </c>
      <c r="O49" s="62">
        <v>0</v>
      </c>
      <c r="P49" s="62">
        <v>1111.136</v>
      </c>
      <c r="Q49" s="62">
        <f t="shared" si="5"/>
        <v>1111.136</v>
      </c>
      <c r="R49" s="62">
        <v>0</v>
      </c>
      <c r="S49" s="62">
        <v>1139.038</v>
      </c>
      <c r="T49" s="62">
        <f t="shared" si="6"/>
        <v>1139.038</v>
      </c>
      <c r="U49" s="62">
        <v>0</v>
      </c>
      <c r="V49" s="62">
        <v>1063.54</v>
      </c>
      <c r="W49" s="62">
        <f t="shared" si="7"/>
        <v>1063.54</v>
      </c>
      <c r="X49" s="62">
        <v>0</v>
      </c>
      <c r="Y49" s="62">
        <v>987.46799999999996</v>
      </c>
      <c r="Z49" s="62">
        <f t="shared" si="112"/>
        <v>987.46799999999996</v>
      </c>
      <c r="AA49" s="63">
        <v>0</v>
      </c>
      <c r="AB49" s="62">
        <v>1127.97</v>
      </c>
      <c r="AC49" s="62">
        <f t="shared" si="9"/>
        <v>1127.97</v>
      </c>
      <c r="AD49" s="63">
        <v>0</v>
      </c>
      <c r="AE49" s="62">
        <v>1128.576</v>
      </c>
      <c r="AF49" s="62">
        <f t="shared" si="38"/>
        <v>1128.576</v>
      </c>
      <c r="AG49" s="63">
        <v>0</v>
      </c>
      <c r="AH49" s="62">
        <v>1119.53</v>
      </c>
      <c r="AI49" s="62">
        <f t="shared" si="10"/>
        <v>1119.53</v>
      </c>
      <c r="AJ49" s="99" t="s">
        <v>567</v>
      </c>
      <c r="AK49" s="65">
        <v>338177</v>
      </c>
      <c r="AL49" s="65">
        <v>350427</v>
      </c>
      <c r="AM49" s="65">
        <v>339647</v>
      </c>
      <c r="AN49" s="65">
        <v>335698</v>
      </c>
      <c r="AO49" s="65">
        <v>312831</v>
      </c>
      <c r="AP49" s="65">
        <v>292338</v>
      </c>
      <c r="AQ49" s="65">
        <v>326713</v>
      </c>
      <c r="AR49" s="65">
        <v>315304</v>
      </c>
      <c r="AS49" s="65">
        <v>308955</v>
      </c>
      <c r="AT49" s="66">
        <f t="shared" si="11"/>
        <v>303.09496964362853</v>
      </c>
      <c r="AU49" s="66">
        <f t="shared" si="12"/>
        <v>307.72331272343132</v>
      </c>
      <c r="AV49" s="66">
        <f t="shared" si="13"/>
        <v>305.67545286985575</v>
      </c>
      <c r="AW49" s="66">
        <f t="shared" si="14"/>
        <v>294.72063267423914</v>
      </c>
      <c r="AX49" s="66">
        <f t="shared" si="15"/>
        <v>294.14126408033547</v>
      </c>
      <c r="AY49" s="66">
        <f t="shared" si="16"/>
        <v>296.04807446924866</v>
      </c>
      <c r="AZ49" s="66">
        <f t="shared" si="111"/>
        <v>289.6468877718379</v>
      </c>
      <c r="BA49" s="66">
        <f t="shared" si="60"/>
        <v>279.38215946467051</v>
      </c>
      <c r="BB49" s="66">
        <f t="shared" si="113"/>
        <v>275.96848677570051</v>
      </c>
      <c r="BC49" s="68">
        <f t="shared" si="17"/>
        <v>2920090</v>
      </c>
      <c r="BD49" s="68">
        <f t="shared" si="18"/>
        <v>294.04458227477198</v>
      </c>
      <c r="BE49" s="68">
        <f>BB49-AT49</f>
        <v>-27.126482867928019</v>
      </c>
      <c r="BF49" s="69">
        <f t="shared" si="19"/>
        <v>-8.9498294543860824E-2</v>
      </c>
      <c r="BG49" s="70" t="str" cm="1">
        <f t="array" ref="BG49">_xlfn.IFS(BF49&gt;0%,"Incremento",BF49=0%,"Stazionarietà",BF49&lt;0%,"Diminuzione")</f>
        <v>Diminuzione</v>
      </c>
      <c r="BH49" s="95" t="s">
        <v>178</v>
      </c>
      <c r="BI49" s="72" t="s">
        <v>182</v>
      </c>
      <c r="BJ49" s="73">
        <v>234</v>
      </c>
      <c r="BK49" s="73">
        <v>232</v>
      </c>
      <c r="BL49" s="73">
        <v>185</v>
      </c>
      <c r="BM49" s="74">
        <v>199</v>
      </c>
      <c r="BN49" s="74">
        <v>177</v>
      </c>
      <c r="BO49" s="74">
        <v>135</v>
      </c>
      <c r="BP49" s="73">
        <v>136</v>
      </c>
      <c r="BQ49" s="73">
        <v>119</v>
      </c>
      <c r="BR49" s="73">
        <v>128</v>
      </c>
      <c r="BS49" s="62">
        <f t="shared" si="20"/>
        <v>0.20972515249886622</v>
      </c>
      <c r="BT49" s="62">
        <f t="shared" si="21"/>
        <v>0.20372804764426275</v>
      </c>
      <c r="BU49" s="62">
        <f t="shared" si="22"/>
        <v>0.16649627048354118</v>
      </c>
      <c r="BV49" s="62">
        <f t="shared" si="23"/>
        <v>0.17470883324349143</v>
      </c>
      <c r="BW49" s="62">
        <f t="shared" si="24"/>
        <v>0.16642533426105272</v>
      </c>
      <c r="BX49" s="62">
        <f t="shared" si="25"/>
        <v>0.13671329096234006</v>
      </c>
      <c r="BY49" s="62">
        <f t="shared" si="84"/>
        <v>0.12057058255095436</v>
      </c>
      <c r="BZ49" s="62">
        <f t="shared" si="85"/>
        <v>0.10544261086537371</v>
      </c>
      <c r="CA49" s="62">
        <f>BR49/AI49</f>
        <v>0.11433369360356578</v>
      </c>
      <c r="CB49" s="62">
        <f t="shared" si="26"/>
        <v>1545</v>
      </c>
      <c r="CC49" s="62">
        <f>(SUM(BS49:CA49))/9</f>
        <v>0.15534931290149423</v>
      </c>
      <c r="CD49" s="75">
        <f t="shared" si="27"/>
        <v>-9.5391458895300443E-2</v>
      </c>
      <c r="CE49" s="69">
        <f>(CA49/BS49)-1</f>
        <v>-0.4548403363102389</v>
      </c>
      <c r="CF49" s="70" t="str" cm="1">
        <f t="array" ref="CF49">_xlfn.IFS(CE49&gt;0%,"Incremento",CE49=0%,"Stazionarietà",CE49&lt;0%,"Diminuzione")</f>
        <v>Diminuzione</v>
      </c>
      <c r="CG49" s="73">
        <v>67</v>
      </c>
      <c r="CH49" s="73">
        <v>78</v>
      </c>
      <c r="CI49" s="73">
        <v>92</v>
      </c>
      <c r="CJ49" s="74">
        <v>103</v>
      </c>
      <c r="CK49" s="74">
        <v>88</v>
      </c>
      <c r="CL49" s="74">
        <v>91</v>
      </c>
      <c r="CM49" s="73">
        <v>98</v>
      </c>
      <c r="CN49" s="73">
        <v>83</v>
      </c>
      <c r="CO49" s="73">
        <v>91</v>
      </c>
      <c r="CP49" s="73">
        <f t="shared" si="29"/>
        <v>6.0049509476171097E-2</v>
      </c>
      <c r="CQ49" s="73">
        <f t="shared" si="30"/>
        <v>6.8494774639019373E-2</v>
      </c>
      <c r="CR49" s="73">
        <f t="shared" si="31"/>
        <v>8.2798145321544794E-2</v>
      </c>
      <c r="CS49" s="73">
        <f t="shared" si="32"/>
        <v>9.0427185045626218E-2</v>
      </c>
      <c r="CT49" s="73">
        <f t="shared" si="33"/>
        <v>8.2742539067642035E-2</v>
      </c>
      <c r="CU49" s="73">
        <f t="shared" si="34"/>
        <v>9.2154885019058844E-2</v>
      </c>
      <c r="CV49" s="73">
        <f>CM49/AC49</f>
        <v>8.6881743308775947E-2</v>
      </c>
      <c r="CW49" s="73">
        <f t="shared" si="88"/>
        <v>7.3544005897697634E-2</v>
      </c>
      <c r="CX49" s="73">
        <f t="shared" si="106"/>
        <v>8.1284110296285045E-2</v>
      </c>
      <c r="CY49" s="73">
        <f t="shared" si="35"/>
        <v>791</v>
      </c>
      <c r="CZ49" s="73">
        <f>(SUM(CP49:CX49))/9</f>
        <v>7.9819655341313439E-2</v>
      </c>
      <c r="DA49" s="74">
        <f t="shared" si="36"/>
        <v>2.1234600820113948E-2</v>
      </c>
      <c r="DB49" s="69">
        <f>(CX49/CP49)-1</f>
        <v>0.35361822278565458</v>
      </c>
      <c r="DC49" s="70" t="str" cm="1">
        <f t="array" ref="DC49">_xlfn.IFS(DB49&gt;0%,"Incremento",DB49=0%,"Stazionarietà",DB49&lt;0%,"Diminuzione")</f>
        <v>Incremento</v>
      </c>
      <c r="DD49" s="73" t="s">
        <v>151</v>
      </c>
      <c r="DE49" s="73" t="s">
        <v>151</v>
      </c>
      <c r="DF49" s="73" t="s">
        <v>151</v>
      </c>
      <c r="DG49" s="74" t="s">
        <v>151</v>
      </c>
      <c r="DH49" s="74" t="s">
        <v>151</v>
      </c>
      <c r="DI49" s="74" t="s">
        <v>151</v>
      </c>
      <c r="DJ49" s="73" t="s">
        <v>151</v>
      </c>
      <c r="DK49" s="73" t="s">
        <v>151</v>
      </c>
      <c r="DL49" s="73" t="s">
        <v>151</v>
      </c>
      <c r="DM49" s="73" t="s">
        <v>151</v>
      </c>
      <c r="DN49" s="73" t="s">
        <v>151</v>
      </c>
      <c r="DO49" s="73" t="s">
        <v>151</v>
      </c>
      <c r="DP49" s="73" t="s">
        <v>151</v>
      </c>
      <c r="DQ49" s="73" t="s">
        <v>151</v>
      </c>
      <c r="DR49" s="73" t="s">
        <v>151</v>
      </c>
      <c r="DS49" s="73" t="s">
        <v>151</v>
      </c>
      <c r="DT49" s="73" t="s">
        <v>151</v>
      </c>
      <c r="DU49" s="73" t="s">
        <v>151</v>
      </c>
      <c r="DV49" s="73">
        <f t="shared" si="47"/>
        <v>0</v>
      </c>
      <c r="DW49" s="73">
        <f t="shared" si="37"/>
        <v>0</v>
      </c>
      <c r="DX49" s="68" t="s">
        <v>151</v>
      </c>
      <c r="DY49" s="70" t="s">
        <v>151</v>
      </c>
      <c r="DZ49" s="70" t="s">
        <v>151</v>
      </c>
    </row>
    <row r="50" spans="1:253" ht="31.2" x14ac:dyDescent="0.3">
      <c r="A50" s="88" t="s">
        <v>81</v>
      </c>
      <c r="B50" s="88" t="s">
        <v>82</v>
      </c>
      <c r="C50" s="88" t="s">
        <v>135</v>
      </c>
      <c r="D50" s="88">
        <v>2012000104</v>
      </c>
      <c r="E50" s="88" t="s">
        <v>89</v>
      </c>
      <c r="F50" s="48">
        <v>1694</v>
      </c>
      <c r="G50" s="61">
        <v>82</v>
      </c>
      <c r="H50" s="61">
        <v>44</v>
      </c>
      <c r="I50" s="62" t="s">
        <v>151</v>
      </c>
      <c r="J50" s="62" t="s">
        <v>151</v>
      </c>
      <c r="K50" s="62" t="s">
        <v>151</v>
      </c>
      <c r="L50" s="62" t="s">
        <v>151</v>
      </c>
      <c r="M50" s="62" t="s">
        <v>151</v>
      </c>
      <c r="N50" s="62" t="s">
        <v>151</v>
      </c>
      <c r="O50" s="62">
        <v>0</v>
      </c>
      <c r="P50" s="62">
        <v>220.88</v>
      </c>
      <c r="Q50" s="62">
        <f>P50+O50</f>
        <v>220.88</v>
      </c>
      <c r="R50" s="62">
        <v>0</v>
      </c>
      <c r="S50" s="62">
        <v>108.562</v>
      </c>
      <c r="T50" s="62">
        <f t="shared" si="6"/>
        <v>108.562</v>
      </c>
      <c r="U50" s="62">
        <v>0</v>
      </c>
      <c r="V50" s="62">
        <v>134.18100000000001</v>
      </c>
      <c r="W50" s="62">
        <f t="shared" si="7"/>
        <v>134.18100000000001</v>
      </c>
      <c r="X50" s="62">
        <v>0</v>
      </c>
      <c r="Y50" s="62">
        <v>308.08999999999997</v>
      </c>
      <c r="Z50" s="62">
        <f t="shared" si="112"/>
        <v>308.08999999999997</v>
      </c>
      <c r="AA50" s="63">
        <v>0</v>
      </c>
      <c r="AB50" s="62">
        <v>189.44800000000001</v>
      </c>
      <c r="AC50" s="62">
        <f t="shared" si="9"/>
        <v>189.44800000000001</v>
      </c>
      <c r="AD50" s="63">
        <v>0</v>
      </c>
      <c r="AE50" s="62">
        <v>260.649</v>
      </c>
      <c r="AF50" s="62">
        <f t="shared" si="38"/>
        <v>260.649</v>
      </c>
      <c r="AG50" s="63">
        <v>0</v>
      </c>
      <c r="AH50" s="62">
        <v>293.97300000000001</v>
      </c>
      <c r="AI50" s="62">
        <f t="shared" si="10"/>
        <v>293.97300000000001</v>
      </c>
      <c r="AJ50" s="99" t="s">
        <v>577</v>
      </c>
      <c r="AK50" s="65" t="s">
        <v>151</v>
      </c>
      <c r="AL50" s="65" t="s">
        <v>151</v>
      </c>
      <c r="AM50" s="65">
        <v>97027</v>
      </c>
      <c r="AN50" s="65">
        <v>56158</v>
      </c>
      <c r="AO50" s="65">
        <v>68110</v>
      </c>
      <c r="AP50" s="65">
        <v>129528</v>
      </c>
      <c r="AQ50" s="65">
        <v>85919</v>
      </c>
      <c r="AR50" s="65">
        <v>112223</v>
      </c>
      <c r="AS50" s="65">
        <v>123068</v>
      </c>
      <c r="AT50" s="66" t="s">
        <v>151</v>
      </c>
      <c r="AU50" s="66" t="s">
        <v>151</v>
      </c>
      <c r="AV50" s="66">
        <f t="shared" si="13"/>
        <v>439.27471930459978</v>
      </c>
      <c r="AW50" s="66">
        <f t="shared" si="14"/>
        <v>517.28965936515544</v>
      </c>
      <c r="AX50" s="66">
        <f t="shared" si="15"/>
        <v>507.59794605793661</v>
      </c>
      <c r="AY50" s="66">
        <f t="shared" si="16"/>
        <v>420.42260378460844</v>
      </c>
      <c r="AZ50" s="66">
        <f t="shared" si="111"/>
        <v>453.52286643300533</v>
      </c>
      <c r="BA50" s="66">
        <f t="shared" si="60"/>
        <v>430.55219855054116</v>
      </c>
      <c r="BB50" s="66">
        <f t="shared" si="113"/>
        <v>418.63708571875645</v>
      </c>
      <c r="BC50" s="68">
        <f t="shared" si="17"/>
        <v>672033</v>
      </c>
      <c r="BD50" s="68">
        <f>(SUM(AT50:BB50))/7</f>
        <v>455.32815417351475</v>
      </c>
      <c r="BE50" s="68">
        <f>BB50-AV50</f>
        <v>-20.637633585843332</v>
      </c>
      <c r="BF50" s="69">
        <f>(BB50/AV50)-1</f>
        <v>-4.6981154796510993E-2</v>
      </c>
      <c r="BG50" s="70" t="str" cm="1">
        <f t="array" ref="BG50">_xlfn.IFS(BF50&gt;0%,"Incremento",BF50=0%,"Stazionarietà",BF50&lt;0%,"Diminuzione")</f>
        <v>Diminuzione</v>
      </c>
      <c r="BH50" s="95" t="s">
        <v>161</v>
      </c>
      <c r="BI50" s="72" t="s">
        <v>182</v>
      </c>
      <c r="BJ50" s="73" t="s">
        <v>151</v>
      </c>
      <c r="BK50" s="73" t="s">
        <v>151</v>
      </c>
      <c r="BL50" s="73">
        <v>23.8</v>
      </c>
      <c r="BM50" s="74">
        <v>16.809999999999999</v>
      </c>
      <c r="BN50" s="74">
        <v>21.99</v>
      </c>
      <c r="BO50" s="74">
        <v>38.979999999999997</v>
      </c>
      <c r="BP50" s="73">
        <v>28.98</v>
      </c>
      <c r="BQ50" s="73">
        <v>36.1</v>
      </c>
      <c r="BR50" s="73">
        <v>38.69</v>
      </c>
      <c r="BS50" s="62" t="s">
        <v>151</v>
      </c>
      <c r="BT50" s="62" t="s">
        <v>151</v>
      </c>
      <c r="BU50" s="62">
        <f t="shared" si="22"/>
        <v>0.10775081492212966</v>
      </c>
      <c r="BV50" s="62">
        <f t="shared" si="23"/>
        <v>0.15484239420791804</v>
      </c>
      <c r="BW50" s="62">
        <f t="shared" si="24"/>
        <v>0.16388311310841325</v>
      </c>
      <c r="BX50" s="62">
        <f t="shared" si="25"/>
        <v>0.12652147099873415</v>
      </c>
      <c r="BY50" s="62">
        <f t="shared" si="84"/>
        <v>0.15297073603310671</v>
      </c>
      <c r="BZ50" s="62">
        <f t="shared" si="85"/>
        <v>0.13850043545150759</v>
      </c>
      <c r="CA50" s="62">
        <f t="shared" ref="CA50:CA52" si="117">BR50/AI50</f>
        <v>0.13161072615512306</v>
      </c>
      <c r="CB50" s="62">
        <f t="shared" si="26"/>
        <v>205.34999999999997</v>
      </c>
      <c r="CC50" s="62">
        <f>(SUM(BS50:CA50))/7</f>
        <v>0.13943995583956179</v>
      </c>
      <c r="CD50" s="75">
        <f>CA50-BU50</f>
        <v>2.38599112329934E-2</v>
      </c>
      <c r="CE50" s="69">
        <f>(CA50/BU50)-1</f>
        <v>0.22143601651863798</v>
      </c>
      <c r="CF50" s="70" t="str" cm="1">
        <f t="array" ref="CF50">_xlfn.IFS(CE50&gt;0%,"Incremento",CE50=0%,"Stazionarietà",CE50&lt;0%,"Diminuzione")</f>
        <v>Incremento</v>
      </c>
      <c r="CG50" s="73" t="s">
        <v>151</v>
      </c>
      <c r="CH50" s="73" t="s">
        <v>151</v>
      </c>
      <c r="CI50" s="73">
        <v>3.36</v>
      </c>
      <c r="CJ50" s="74">
        <v>1.89</v>
      </c>
      <c r="CK50" s="74">
        <v>3.08</v>
      </c>
      <c r="CL50" s="74">
        <v>3.97</v>
      </c>
      <c r="CM50" s="73">
        <v>1.18</v>
      </c>
      <c r="CN50" s="73">
        <v>2.54</v>
      </c>
      <c r="CO50" s="73">
        <v>4.24</v>
      </c>
      <c r="CP50" s="73" t="s">
        <v>151</v>
      </c>
      <c r="CQ50" s="73" t="s">
        <v>151</v>
      </c>
      <c r="CR50" s="73">
        <f t="shared" si="31"/>
        <v>1.5211879753712423E-2</v>
      </c>
      <c r="CS50" s="73">
        <f t="shared" si="32"/>
        <v>1.7409406606363184E-2</v>
      </c>
      <c r="CT50" s="73">
        <f t="shared" si="33"/>
        <v>2.2954069503133827E-2</v>
      </c>
      <c r="CU50" s="73">
        <f t="shared" si="34"/>
        <v>1.2885845045278978E-2</v>
      </c>
      <c r="CV50" s="73">
        <f t="shared" ref="CV50:CV52" si="118">CM50/AC50</f>
        <v>6.2286221021071739E-3</v>
      </c>
      <c r="CW50" s="73">
        <f t="shared" si="88"/>
        <v>9.7449059846767116E-3</v>
      </c>
      <c r="CX50" s="73">
        <f t="shared" si="106"/>
        <v>1.4423093277273763E-2</v>
      </c>
      <c r="CY50" s="73">
        <f t="shared" si="35"/>
        <v>20.259999999999998</v>
      </c>
      <c r="CZ50" s="73">
        <f>(SUM(CP50:CX50))/7</f>
        <v>1.412254603893515E-2</v>
      </c>
      <c r="DA50" s="74">
        <f>CX50-CR50</f>
        <v>-7.8878647643866075E-4</v>
      </c>
      <c r="DB50" s="69">
        <f>(CX50/CR50)-1</f>
        <v>-5.1853320510646284E-2</v>
      </c>
      <c r="DC50" s="70" t="str" cm="1">
        <f t="array" ref="DC50">_xlfn.IFS(DB50&gt;0%,"Incremento",DB50=0%,"Stazionarietà",DB50&lt;0%,"Diminuzione")</f>
        <v>Diminuzione</v>
      </c>
      <c r="DD50" s="73" t="s">
        <v>151</v>
      </c>
      <c r="DE50" s="73" t="s">
        <v>151</v>
      </c>
      <c r="DF50" s="73" t="s">
        <v>151</v>
      </c>
      <c r="DG50" s="74" t="s">
        <v>151</v>
      </c>
      <c r="DH50" s="74" t="s">
        <v>151</v>
      </c>
      <c r="DI50" s="74" t="s">
        <v>151</v>
      </c>
      <c r="DJ50" s="73" t="s">
        <v>151</v>
      </c>
      <c r="DK50" s="73" t="s">
        <v>151</v>
      </c>
      <c r="DL50" s="73" t="s">
        <v>151</v>
      </c>
      <c r="DM50" s="73" t="s">
        <v>151</v>
      </c>
      <c r="DN50" s="73" t="s">
        <v>151</v>
      </c>
      <c r="DO50" s="73" t="s">
        <v>151</v>
      </c>
      <c r="DP50" s="73" t="s">
        <v>151</v>
      </c>
      <c r="DQ50" s="73" t="s">
        <v>151</v>
      </c>
      <c r="DR50" s="73" t="s">
        <v>151</v>
      </c>
      <c r="DS50" s="73" t="s">
        <v>151</v>
      </c>
      <c r="DT50" s="73" t="s">
        <v>151</v>
      </c>
      <c r="DU50" s="73" t="s">
        <v>151</v>
      </c>
      <c r="DV50" s="73">
        <f t="shared" si="47"/>
        <v>0</v>
      </c>
      <c r="DW50" s="73">
        <f t="shared" si="37"/>
        <v>0</v>
      </c>
      <c r="DX50" s="68" t="s">
        <v>151</v>
      </c>
      <c r="DY50" s="70" t="s">
        <v>151</v>
      </c>
      <c r="DZ50" s="70" t="s">
        <v>151</v>
      </c>
    </row>
    <row r="51" spans="1:253" ht="31.2" x14ac:dyDescent="0.3">
      <c r="A51" s="88" t="s">
        <v>33</v>
      </c>
      <c r="B51" s="88" t="s">
        <v>83</v>
      </c>
      <c r="C51" s="88" t="s">
        <v>136</v>
      </c>
      <c r="D51" s="88">
        <v>2010000282</v>
      </c>
      <c r="E51" s="88" t="s">
        <v>89</v>
      </c>
      <c r="F51" s="48">
        <v>1656</v>
      </c>
      <c r="G51" s="61" t="s">
        <v>151</v>
      </c>
      <c r="H51" s="61" t="s">
        <v>151</v>
      </c>
      <c r="I51" s="62" t="s">
        <v>151</v>
      </c>
      <c r="J51" s="62" t="s">
        <v>151</v>
      </c>
      <c r="K51" s="62" t="s">
        <v>151</v>
      </c>
      <c r="L51" s="62" t="s">
        <v>151</v>
      </c>
      <c r="M51" s="62" t="s">
        <v>151</v>
      </c>
      <c r="N51" s="62" t="s">
        <v>151</v>
      </c>
      <c r="O51" s="62" t="s">
        <v>151</v>
      </c>
      <c r="P51" s="62" t="s">
        <v>151</v>
      </c>
      <c r="Q51" s="62" t="s">
        <v>151</v>
      </c>
      <c r="R51" s="62">
        <v>0</v>
      </c>
      <c r="S51" s="62">
        <v>1275</v>
      </c>
      <c r="T51" s="62">
        <f t="shared" si="6"/>
        <v>1275</v>
      </c>
      <c r="U51" s="62">
        <v>0</v>
      </c>
      <c r="V51" s="62">
        <v>1346</v>
      </c>
      <c r="W51" s="62">
        <f t="shared" si="7"/>
        <v>1346</v>
      </c>
      <c r="X51" s="62">
        <v>0</v>
      </c>
      <c r="Y51" s="62">
        <v>1059.943</v>
      </c>
      <c r="Z51" s="62">
        <f t="shared" si="112"/>
        <v>1059.943</v>
      </c>
      <c r="AA51" s="63">
        <v>0</v>
      </c>
      <c r="AB51" s="62">
        <v>1503.1279999999999</v>
      </c>
      <c r="AC51" s="62">
        <f t="shared" si="9"/>
        <v>1503.1279999999999</v>
      </c>
      <c r="AD51" s="63">
        <v>0</v>
      </c>
      <c r="AE51" s="62">
        <v>1688.59</v>
      </c>
      <c r="AF51" s="62">
        <f t="shared" si="38"/>
        <v>1688.59</v>
      </c>
      <c r="AG51" s="63">
        <v>0</v>
      </c>
      <c r="AH51" s="62">
        <v>2117.5030000000002</v>
      </c>
      <c r="AI51" s="62">
        <f t="shared" si="10"/>
        <v>2117.5030000000002</v>
      </c>
      <c r="AJ51" s="64" t="s">
        <v>580</v>
      </c>
      <c r="AK51" s="65" t="s">
        <v>151</v>
      </c>
      <c r="AL51" s="65">
        <v>651319</v>
      </c>
      <c r="AM51" s="65">
        <v>623547</v>
      </c>
      <c r="AN51" s="65">
        <v>486044</v>
      </c>
      <c r="AO51" s="65">
        <v>513798</v>
      </c>
      <c r="AP51" s="65">
        <v>412070</v>
      </c>
      <c r="AQ51" s="65">
        <v>577519</v>
      </c>
      <c r="AR51" s="65">
        <v>637224</v>
      </c>
      <c r="AS51" s="65">
        <v>790044</v>
      </c>
      <c r="AT51" s="66" t="s">
        <v>151</v>
      </c>
      <c r="AU51" s="66">
        <v>370.4</v>
      </c>
      <c r="AV51" s="66">
        <v>365.8</v>
      </c>
      <c r="AW51" s="66">
        <f t="shared" si="14"/>
        <v>381.21098039215684</v>
      </c>
      <c r="AX51" s="66">
        <f t="shared" si="15"/>
        <v>381.72213967310552</v>
      </c>
      <c r="AY51" s="66">
        <f>AP51/Z51</f>
        <v>388.76618837050671</v>
      </c>
      <c r="AZ51" s="66">
        <f t="shared" si="111"/>
        <v>384.21145770686195</v>
      </c>
      <c r="BA51" s="66">
        <f t="shared" si="60"/>
        <v>377.37046885271144</v>
      </c>
      <c r="BB51" s="66">
        <f t="shared" si="113"/>
        <v>373.10171461386358</v>
      </c>
      <c r="BC51" s="68">
        <f t="shared" si="17"/>
        <v>4691565</v>
      </c>
      <c r="BD51" s="68">
        <f>(SUM(AT51:BB51))/8</f>
        <v>377.82286870115081</v>
      </c>
      <c r="BE51" s="68">
        <f>BB51-AU51</f>
        <v>2.7017146138636008</v>
      </c>
      <c r="BF51" s="69">
        <f>(BB51/AU51)-1</f>
        <v>7.2940459337569319E-3</v>
      </c>
      <c r="BG51" s="70" t="str" cm="1">
        <f t="array" ref="BG51">_xlfn.IFS(BF51&gt;0%,"Incremento",BF51=0%,"Stazionarietà",BF51&lt;0%,"Diminuzione")</f>
        <v>Incremento</v>
      </c>
      <c r="BH51" s="91" t="s">
        <v>162</v>
      </c>
      <c r="BI51" s="72" t="s">
        <v>180</v>
      </c>
      <c r="BJ51" s="73" t="s">
        <v>151</v>
      </c>
      <c r="BK51" s="73">
        <v>196.05099999999999</v>
      </c>
      <c r="BL51" s="73">
        <v>188.19200000000001</v>
      </c>
      <c r="BM51" s="74">
        <v>139.72399999999999</v>
      </c>
      <c r="BN51" s="74">
        <v>139.875</v>
      </c>
      <c r="BO51" s="74">
        <v>109.74979999999999</v>
      </c>
      <c r="BP51" s="73">
        <v>167.36</v>
      </c>
      <c r="BQ51" s="73">
        <v>190.84</v>
      </c>
      <c r="BR51" s="73">
        <v>251.065</v>
      </c>
      <c r="BS51" s="62" t="s">
        <v>151</v>
      </c>
      <c r="BT51" s="62">
        <v>0.111</v>
      </c>
      <c r="BU51" s="62">
        <v>0.11</v>
      </c>
      <c r="BV51" s="62">
        <v>0.107</v>
      </c>
      <c r="BW51" s="62">
        <f t="shared" si="24"/>
        <v>0.10391901931649332</v>
      </c>
      <c r="BX51" s="62">
        <f t="shared" si="25"/>
        <v>0.10354311505430008</v>
      </c>
      <c r="BY51" s="62">
        <f t="shared" si="84"/>
        <v>0.11134114992202927</v>
      </c>
      <c r="BZ51" s="62">
        <f t="shared" si="85"/>
        <v>0.11301736952131661</v>
      </c>
      <c r="CA51" s="62">
        <f t="shared" si="117"/>
        <v>0.1185665380403239</v>
      </c>
      <c r="CB51" s="62">
        <f t="shared" si="26"/>
        <v>1382.8568</v>
      </c>
      <c r="CC51" s="62">
        <f>(SUM(BS51:CA51))/8</f>
        <v>0.1097983989818079</v>
      </c>
      <c r="CD51" s="75">
        <f>CA51-BT51</f>
        <v>7.5665380403238947E-3</v>
      </c>
      <c r="CE51" s="69">
        <f>(CA51/BT51)-1</f>
        <v>6.8167009372287257E-2</v>
      </c>
      <c r="CF51" s="70" t="str" cm="1">
        <f t="array" ref="CF51">_xlfn.IFS(CE51&gt;0%,"Incremento",CE51=0%,"Stazionarietà",CE51&lt;0%,"Diminuzione")</f>
        <v>Incremento</v>
      </c>
      <c r="CG51" s="73" t="s">
        <v>151</v>
      </c>
      <c r="CH51" s="73">
        <v>262.47699999999998</v>
      </c>
      <c r="CI51" s="73">
        <v>339.673</v>
      </c>
      <c r="CJ51" s="74">
        <v>196.33500000000001</v>
      </c>
      <c r="CK51" s="74">
        <v>133.30099999999999</v>
      </c>
      <c r="CL51" s="74">
        <v>12.415800000000001</v>
      </c>
      <c r="CM51" s="73">
        <v>121.139</v>
      </c>
      <c r="CN51" s="73">
        <v>119.325</v>
      </c>
      <c r="CO51" s="73">
        <v>133.44900000000001</v>
      </c>
      <c r="CP51" s="73" t="s">
        <v>151</v>
      </c>
      <c r="CQ51" s="73">
        <v>0.14899999999999999</v>
      </c>
      <c r="CR51" s="73">
        <v>0.19900000000000001</v>
      </c>
      <c r="CS51" s="73">
        <f t="shared" si="32"/>
        <v>0.15398823529411765</v>
      </c>
      <c r="CT51" s="73">
        <f t="shared" si="33"/>
        <v>9.9034918276374437E-2</v>
      </c>
      <c r="CU51" s="73">
        <f>CL51/Z51</f>
        <v>1.1713648752810293E-2</v>
      </c>
      <c r="CV51" s="73">
        <f t="shared" si="118"/>
        <v>8.0591273663986038E-2</v>
      </c>
      <c r="CW51" s="73">
        <f t="shared" si="88"/>
        <v>7.0665466454260667E-2</v>
      </c>
      <c r="CX51" s="73">
        <f t="shared" si="106"/>
        <v>6.3021870571139685E-2</v>
      </c>
      <c r="CY51" s="73">
        <f t="shared" si="35"/>
        <v>1318.1148000000001</v>
      </c>
      <c r="CZ51" s="73">
        <f>(SUM(CP51:CX51))/8</f>
        <v>0.1033769266265861</v>
      </c>
      <c r="DA51" s="74">
        <f>CX51-CQ51</f>
        <v>-8.5978129428860309E-2</v>
      </c>
      <c r="DB51" s="69">
        <f>(CX51/CQ51)-1</f>
        <v>-0.5770344256970491</v>
      </c>
      <c r="DC51" s="70" t="str" cm="1">
        <f t="array" ref="DC51">_xlfn.IFS(DB51&gt;0%,"Incremento",DB51=0%,"Stazionarietà",DB51&lt;0%,"Diminuzione")</f>
        <v>Diminuzione</v>
      </c>
      <c r="DD51" s="73" t="s">
        <v>151</v>
      </c>
      <c r="DE51" s="73" t="s">
        <v>151</v>
      </c>
      <c r="DF51" s="73" t="s">
        <v>151</v>
      </c>
      <c r="DG51" s="74" t="s">
        <v>151</v>
      </c>
      <c r="DH51" s="74" t="s">
        <v>151</v>
      </c>
      <c r="DI51" s="74" t="s">
        <v>151</v>
      </c>
      <c r="DJ51" s="73" t="s">
        <v>151</v>
      </c>
      <c r="DK51" s="73" t="s">
        <v>151</v>
      </c>
      <c r="DL51" s="73" t="s">
        <v>151</v>
      </c>
      <c r="DM51" s="73" t="s">
        <v>151</v>
      </c>
      <c r="DN51" s="73" t="s">
        <v>151</v>
      </c>
      <c r="DO51" s="73" t="s">
        <v>151</v>
      </c>
      <c r="DP51" s="73" t="s">
        <v>151</v>
      </c>
      <c r="DQ51" s="73" t="s">
        <v>151</v>
      </c>
      <c r="DR51" s="73" t="s">
        <v>151</v>
      </c>
      <c r="DS51" s="73" t="s">
        <v>151</v>
      </c>
      <c r="DT51" s="73" t="s">
        <v>151</v>
      </c>
      <c r="DU51" s="73" t="s">
        <v>151</v>
      </c>
      <c r="DV51" s="73">
        <f t="shared" si="47"/>
        <v>0</v>
      </c>
      <c r="DW51" s="73">
        <f t="shared" si="37"/>
        <v>0</v>
      </c>
      <c r="DX51" s="68" t="s">
        <v>151</v>
      </c>
      <c r="DY51" s="70" t="s">
        <v>151</v>
      </c>
      <c r="DZ51" s="70" t="s">
        <v>151</v>
      </c>
    </row>
    <row r="52" spans="1:253" x14ac:dyDescent="0.3">
      <c r="A52" s="88" t="s">
        <v>71</v>
      </c>
      <c r="B52" s="88" t="s">
        <v>84</v>
      </c>
      <c r="C52" s="88" t="s">
        <v>137</v>
      </c>
      <c r="D52" s="94">
        <v>2007000629</v>
      </c>
      <c r="E52" s="88"/>
      <c r="G52" s="61">
        <v>730</v>
      </c>
      <c r="H52" s="61">
        <v>386</v>
      </c>
      <c r="I52" s="62" t="s">
        <v>151</v>
      </c>
      <c r="J52" s="62" t="s">
        <v>151</v>
      </c>
      <c r="K52" s="62" t="s">
        <v>151</v>
      </c>
      <c r="L52" s="62">
        <v>2.9039999999999999</v>
      </c>
      <c r="M52" s="62">
        <v>1998.028</v>
      </c>
      <c r="N52" s="62">
        <f>M52+L52</f>
        <v>2000.932</v>
      </c>
      <c r="O52" s="62">
        <v>2.73</v>
      </c>
      <c r="P52" s="62">
        <v>1352.5509999999999</v>
      </c>
      <c r="Q52" s="62">
        <f>P52+O52</f>
        <v>1355.2809999999999</v>
      </c>
      <c r="R52" s="62">
        <v>2.5870000000000002</v>
      </c>
      <c r="S52" s="62">
        <v>1266.8230000000001</v>
      </c>
      <c r="T52" s="62">
        <f t="shared" si="6"/>
        <v>1269.4100000000001</v>
      </c>
      <c r="U52" s="62">
        <v>61.29</v>
      </c>
      <c r="V52" s="62">
        <v>1739.7840000000001</v>
      </c>
      <c r="W52" s="62">
        <f t="shared" si="7"/>
        <v>1801.0740000000001</v>
      </c>
      <c r="X52" s="62">
        <v>72.991</v>
      </c>
      <c r="Y52" s="62">
        <v>2050.819</v>
      </c>
      <c r="Z52" s="62">
        <f t="shared" si="112"/>
        <v>2123.81</v>
      </c>
      <c r="AA52" s="63">
        <v>5.8220000000000001</v>
      </c>
      <c r="AB52" s="62">
        <v>2291.85</v>
      </c>
      <c r="AC52" s="62">
        <f t="shared" si="9"/>
        <v>2297.672</v>
      </c>
      <c r="AD52" s="63">
        <v>3.2530000000000001</v>
      </c>
      <c r="AE52" s="62">
        <v>1520.693</v>
      </c>
      <c r="AF52" s="62">
        <f>AE52+AD52</f>
        <v>1523.9459999999999</v>
      </c>
      <c r="AG52" s="63">
        <v>4.3010000000000002</v>
      </c>
      <c r="AH52" s="62">
        <v>2151.3530000000001</v>
      </c>
      <c r="AI52" s="62">
        <f t="shared" si="10"/>
        <v>2155.654</v>
      </c>
      <c r="AJ52" s="64" t="s">
        <v>578</v>
      </c>
      <c r="AK52" s="65" t="s">
        <v>151</v>
      </c>
      <c r="AL52" s="65">
        <v>757387</v>
      </c>
      <c r="AM52" s="65">
        <v>515606</v>
      </c>
      <c r="AN52" s="65">
        <v>478050</v>
      </c>
      <c r="AO52" s="65">
        <v>668186</v>
      </c>
      <c r="AP52" s="65">
        <v>783150</v>
      </c>
      <c r="AQ52" s="65">
        <v>870258</v>
      </c>
      <c r="AR52" s="65">
        <v>577930</v>
      </c>
      <c r="AS52" s="65">
        <v>798715</v>
      </c>
      <c r="AT52" s="66" t="s">
        <v>151</v>
      </c>
      <c r="AU52" s="66">
        <f>AL52/N52</f>
        <v>378.51711102626177</v>
      </c>
      <c r="AV52" s="66">
        <f>AM52/Q52</f>
        <v>380.44213709186511</v>
      </c>
      <c r="AW52" s="66">
        <f t="shared" si="14"/>
        <v>376.59227515144829</v>
      </c>
      <c r="AX52" s="66">
        <f t="shared" si="15"/>
        <v>370.99308523691974</v>
      </c>
      <c r="AY52" s="66">
        <f t="shared" si="16"/>
        <v>368.74767516868269</v>
      </c>
      <c r="AZ52" s="66">
        <f t="shared" si="111"/>
        <v>378.75641083670774</v>
      </c>
      <c r="BA52" s="66">
        <f t="shared" si="60"/>
        <v>379.23259748048815</v>
      </c>
      <c r="BB52" s="66">
        <f t="shared" si="113"/>
        <v>370.52096486727464</v>
      </c>
      <c r="BC52" s="68">
        <f t="shared" si="17"/>
        <v>5449282</v>
      </c>
      <c r="BD52" s="68">
        <f>(SUM(AT52:BB52))/8</f>
        <v>375.475282107456</v>
      </c>
      <c r="BE52" s="68">
        <f>BB52-AU52</f>
        <v>-7.9961461589871305</v>
      </c>
      <c r="BF52" s="69">
        <f>(BB52/AU52)-1</f>
        <v>-2.1124926525269649E-2</v>
      </c>
      <c r="BG52" s="70" t="str" cm="1">
        <f t="array" ref="BG52">_xlfn.IFS(BF52&gt;0%,"Incremento",BF52=0%,"Stazionarietà",BF52&lt;0%,"Diminuzione")</f>
        <v>Diminuzione</v>
      </c>
      <c r="BH52" s="95" t="s">
        <v>161</v>
      </c>
      <c r="BI52" s="72" t="s">
        <v>182</v>
      </c>
      <c r="BJ52" s="73" t="s">
        <v>151</v>
      </c>
      <c r="BK52" s="73">
        <v>264.21199999999999</v>
      </c>
      <c r="BL52" s="73">
        <v>177.56800000000001</v>
      </c>
      <c r="BM52" s="74">
        <v>128.578</v>
      </c>
      <c r="BN52" s="74">
        <v>169.02</v>
      </c>
      <c r="BO52" s="74">
        <v>210.55699999999999</v>
      </c>
      <c r="BP52" s="73">
        <v>226.303</v>
      </c>
      <c r="BQ52" s="73">
        <v>152.023</v>
      </c>
      <c r="BR52" s="73">
        <v>173.85</v>
      </c>
      <c r="BS52" s="62" t="s">
        <v>151</v>
      </c>
      <c r="BT52" s="62">
        <f>BK52/N52</f>
        <v>0.13204446727824834</v>
      </c>
      <c r="BU52" s="62">
        <f>BL52/Q52</f>
        <v>0.13101932366793309</v>
      </c>
      <c r="BV52" s="62">
        <f t="shared" si="23"/>
        <v>0.1012895754720697</v>
      </c>
      <c r="BW52" s="62">
        <f t="shared" si="24"/>
        <v>9.384400640950899E-2</v>
      </c>
      <c r="BX52" s="62">
        <f t="shared" si="25"/>
        <v>9.914116611184616E-2</v>
      </c>
      <c r="BY52" s="62">
        <f t="shared" si="84"/>
        <v>9.8492300032380603E-2</v>
      </c>
      <c r="BZ52" s="62">
        <f t="shared" si="85"/>
        <v>9.9756159338979203E-2</v>
      </c>
      <c r="CA52" s="62">
        <f t="shared" si="117"/>
        <v>8.0648378635903531E-2</v>
      </c>
      <c r="CB52" s="62">
        <f t="shared" si="26"/>
        <v>1502.1109999999996</v>
      </c>
      <c r="CC52" s="62">
        <f>(SUM(BS52:CA52))/8</f>
        <v>0.10452942211835871</v>
      </c>
      <c r="CD52" s="75">
        <f>CA52-BT52</f>
        <v>-5.1396088642344809E-2</v>
      </c>
      <c r="CE52" s="69">
        <f>(CA52/BT52)-1</f>
        <v>-0.38923318562103271</v>
      </c>
      <c r="CF52" s="70" t="str" cm="1">
        <f t="array" ref="CF52">_xlfn.IFS(CE52&gt;0%,"Incremento",CE52=0%,"Stazionarietà",CE52&lt;0%,"Diminuzione")</f>
        <v>Diminuzione</v>
      </c>
      <c r="CG52" s="73" t="s">
        <v>151</v>
      </c>
      <c r="CH52" s="73">
        <v>474.73899999999998</v>
      </c>
      <c r="CI52" s="73">
        <v>652.20000000000005</v>
      </c>
      <c r="CJ52" s="74">
        <v>465.642</v>
      </c>
      <c r="CK52" s="74">
        <v>163.13200000000001</v>
      </c>
      <c r="CL52" s="74">
        <v>92.433999999999997</v>
      </c>
      <c r="CM52" s="73">
        <v>137.49100000000001</v>
      </c>
      <c r="CN52" s="73">
        <v>222.602</v>
      </c>
      <c r="CO52" s="73">
        <v>241.071</v>
      </c>
      <c r="CP52" s="73" t="s">
        <v>151</v>
      </c>
      <c r="CQ52" s="73">
        <f>CH52/N52</f>
        <v>0.23725893733520179</v>
      </c>
      <c r="CR52" s="73">
        <f>CI52/Q52</f>
        <v>0.4812286160582197</v>
      </c>
      <c r="CS52" s="73">
        <f t="shared" si="32"/>
        <v>0.36681765544623091</v>
      </c>
      <c r="CT52" s="73">
        <f t="shared" si="33"/>
        <v>9.0574845897503378E-2</v>
      </c>
      <c r="CU52" s="73">
        <f t="shared" si="34"/>
        <v>4.3522725667550298E-2</v>
      </c>
      <c r="CV52" s="73">
        <f t="shared" si="118"/>
        <v>5.9839263393556615E-2</v>
      </c>
      <c r="CW52" s="73">
        <f>CN52/AF52</f>
        <v>0.14606948015218388</v>
      </c>
      <c r="CX52" s="73">
        <f t="shared" si="106"/>
        <v>0.11183195447877999</v>
      </c>
      <c r="CY52" s="73">
        <f>SUM(CG52:CO52)</f>
        <v>2449.3110000000001</v>
      </c>
      <c r="CZ52" s="73">
        <f>(SUM(CP52:CX52))/8</f>
        <v>0.19214293480365333</v>
      </c>
      <c r="DA52" s="74">
        <f>CX52-CQ52</f>
        <v>-0.12542698285642179</v>
      </c>
      <c r="DB52" s="69">
        <f>(CX52/CQ52)-1</f>
        <v>-0.52865019233908694</v>
      </c>
      <c r="DC52" s="70" t="str" cm="1">
        <f t="array" ref="DC52">_xlfn.IFS(DB52&gt;0%,"Incremento",DB52=0%,"Stazionarietà",DB52&lt;0%,"Diminuzione")</f>
        <v>Diminuzione</v>
      </c>
      <c r="DD52" s="73" t="s">
        <v>151</v>
      </c>
      <c r="DE52" s="73" t="s">
        <v>151</v>
      </c>
      <c r="DF52" s="73" t="s">
        <v>151</v>
      </c>
      <c r="DG52" s="74" t="s">
        <v>151</v>
      </c>
      <c r="DH52" s="74" t="s">
        <v>151</v>
      </c>
      <c r="DI52" s="74" t="s">
        <v>151</v>
      </c>
      <c r="DJ52" s="73" t="s">
        <v>151</v>
      </c>
      <c r="DK52" s="73" t="s">
        <v>151</v>
      </c>
      <c r="DL52" s="73" t="s">
        <v>151</v>
      </c>
      <c r="DM52" s="73" t="s">
        <v>151</v>
      </c>
      <c r="DN52" s="73" t="s">
        <v>151</v>
      </c>
      <c r="DO52" s="73" t="s">
        <v>151</v>
      </c>
      <c r="DP52" s="73" t="s">
        <v>151</v>
      </c>
      <c r="DQ52" s="73" t="s">
        <v>151</v>
      </c>
      <c r="DR52" s="73" t="s">
        <v>151</v>
      </c>
      <c r="DS52" s="73" t="s">
        <v>151</v>
      </c>
      <c r="DT52" s="73" t="s">
        <v>151</v>
      </c>
      <c r="DU52" s="73" t="s">
        <v>151</v>
      </c>
      <c r="DV52" s="73">
        <f t="shared" si="47"/>
        <v>0</v>
      </c>
      <c r="DW52" s="73">
        <f t="shared" si="37"/>
        <v>0</v>
      </c>
      <c r="DX52" s="68" t="s">
        <v>151</v>
      </c>
      <c r="DY52" s="70" t="s">
        <v>151</v>
      </c>
      <c r="DZ52" s="70" t="s">
        <v>151</v>
      </c>
    </row>
    <row r="53" spans="1:253" ht="18" x14ac:dyDescent="0.4">
      <c r="AJ53" s="100" t="s">
        <v>170</v>
      </c>
      <c r="AK53" s="65">
        <f>SUM(AK4:AK52)</f>
        <v>60615174.740999997</v>
      </c>
      <c r="AL53" s="65">
        <f>SUM(AL4:AL52)</f>
        <v>58758121.656000003</v>
      </c>
      <c r="AM53" s="65">
        <f t="shared" ref="AM53:AP53" si="119">SUM(AM4:AM52)</f>
        <v>56889181.191</v>
      </c>
      <c r="AN53" s="65">
        <f t="shared" si="119"/>
        <v>50270315.651000001</v>
      </c>
      <c r="AO53" s="65">
        <f t="shared" si="119"/>
        <v>50568060.956</v>
      </c>
      <c r="AP53" s="65">
        <f t="shared" si="119"/>
        <v>55355608.759000003</v>
      </c>
      <c r="AQ53" s="65">
        <f>SUM(AQ4:AQ52)</f>
        <v>54967171.090000004</v>
      </c>
      <c r="AR53" s="65">
        <f>SUM(AR4:AR52)</f>
        <v>49597822.799999997</v>
      </c>
      <c r="AS53" s="65">
        <f>SUM(AS4:AS52)</f>
        <v>45128192.57</v>
      </c>
      <c r="BF53" s="48" t="s">
        <v>626</v>
      </c>
      <c r="BI53" s="100" t="s">
        <v>170</v>
      </c>
      <c r="BJ53" s="61">
        <f>SUM(BJ4:BJ52)</f>
        <v>27190.558999999997</v>
      </c>
      <c r="BK53" s="61">
        <f>SUM(BK4:BK52)</f>
        <v>26066.56682</v>
      </c>
      <c r="BL53" s="61">
        <f>SUM(BL4:BL52)</f>
        <v>23857.215950000002</v>
      </c>
      <c r="BM53" s="61">
        <f t="shared" ref="BM53:BO53" si="120">SUM(BM4:BM52)</f>
        <v>21418.537139999997</v>
      </c>
      <c r="BN53" s="61">
        <f t="shared" si="120"/>
        <v>19647.070826000006</v>
      </c>
      <c r="BO53" s="61">
        <f t="shared" si="120"/>
        <v>20725.168172000009</v>
      </c>
      <c r="BP53" s="61">
        <f>SUM(BP4:BP52)</f>
        <v>19446.002154000002</v>
      </c>
      <c r="BQ53" s="61">
        <f>SUM(BQ4:BQ52)</f>
        <v>17567.230581</v>
      </c>
      <c r="BR53" s="61">
        <f>SUM(BR4:BR52)</f>
        <v>15477.495330999998</v>
      </c>
      <c r="CE53" s="48" t="s">
        <v>212</v>
      </c>
      <c r="CF53" s="100" t="s">
        <v>170</v>
      </c>
      <c r="CG53" s="61">
        <f>SUM(CG4:CG52)</f>
        <v>10598.177779999998</v>
      </c>
      <c r="CH53" s="61">
        <f>SUM(CH4:CH52)</f>
        <v>14071.3984</v>
      </c>
      <c r="CI53" s="61">
        <f t="shared" ref="CI53:CL53" si="121">SUM(CI4:CI52)</f>
        <v>15112.208000000002</v>
      </c>
      <c r="CJ53" s="61">
        <f t="shared" si="121"/>
        <v>15288.0584</v>
      </c>
      <c r="CK53" s="61">
        <f t="shared" si="121"/>
        <v>12585.017603999999</v>
      </c>
      <c r="CL53" s="61">
        <f t="shared" si="121"/>
        <v>10358.934998999999</v>
      </c>
      <c r="CM53" s="61">
        <f>SUM(CM4:CM52)</f>
        <v>8583.327593</v>
      </c>
      <c r="CN53" s="61">
        <f>SUM(CN4:CN52)</f>
        <v>8218.8992560000006</v>
      </c>
      <c r="CO53" s="61">
        <f>SUM(CO4:CO52)</f>
        <v>6123.8896939999986</v>
      </c>
      <c r="DB53" s="48" t="s">
        <v>213</v>
      </c>
      <c r="DC53" s="100" t="s">
        <v>170</v>
      </c>
      <c r="DD53" s="61">
        <f>SUM(DD4:DD52)</f>
        <v>20070.301899999999</v>
      </c>
      <c r="DE53" s="61">
        <f>SUM(DE4:DE52)</f>
        <v>22409.833299999998</v>
      </c>
      <c r="DF53" s="61">
        <f t="shared" ref="DF53:DI53" si="122">SUM(DF4:DF52)</f>
        <v>18799.7228</v>
      </c>
      <c r="DG53" s="61">
        <f t="shared" si="122"/>
        <v>15832.8205</v>
      </c>
      <c r="DH53" s="61">
        <f t="shared" si="122"/>
        <v>13410.557705000001</v>
      </c>
      <c r="DI53" s="61">
        <f t="shared" si="122"/>
        <v>11478.576413000001</v>
      </c>
      <c r="DJ53" s="61">
        <f>SUM(DJ4:DJ52)</f>
        <v>8707.6476129999992</v>
      </c>
      <c r="DK53" s="61">
        <f>SUM(DK4:DK52)</f>
        <v>8452.7564649999986</v>
      </c>
      <c r="DL53" s="61">
        <f>SUM(DL4:DL52)</f>
        <v>6582.2813619999997</v>
      </c>
      <c r="DO53" s="76"/>
      <c r="DP53" s="76"/>
      <c r="DQ53" s="76"/>
      <c r="DR53" s="76"/>
      <c r="DY53" s="48" t="s">
        <v>214</v>
      </c>
    </row>
    <row r="54" spans="1:253" x14ac:dyDescent="0.3">
      <c r="AJ54" s="100" t="s">
        <v>169</v>
      </c>
      <c r="AK54" s="65">
        <v>424277530</v>
      </c>
      <c r="AL54" s="65">
        <v>403447210</v>
      </c>
      <c r="AM54" s="65">
        <v>369834340</v>
      </c>
      <c r="AN54" s="65">
        <v>349581750</v>
      </c>
      <c r="AO54" s="65">
        <v>361302480</v>
      </c>
      <c r="AP54" s="65">
        <v>358060740</v>
      </c>
      <c r="AQ54" s="65">
        <v>352849910</v>
      </c>
      <c r="AR54" s="65">
        <v>349020450</v>
      </c>
      <c r="AS54" s="65">
        <v>339772170</v>
      </c>
      <c r="BB54" s="64"/>
      <c r="BC54" s="64"/>
      <c r="BD54" s="64"/>
      <c r="BE54" s="64"/>
      <c r="BF54" s="101">
        <f>COUNTIF(BG4:BG52,"Incremento")</f>
        <v>21</v>
      </c>
      <c r="BG54" s="102">
        <f>BF54/49</f>
        <v>0.42857142857142855</v>
      </c>
      <c r="BH54" s="48" t="s">
        <v>628</v>
      </c>
      <c r="CE54" s="101">
        <f>COUNTIF(CF4:CF52,"Incremento")</f>
        <v>18</v>
      </c>
      <c r="CF54" s="102">
        <f>CE54/49</f>
        <v>0.36734693877551022</v>
      </c>
      <c r="CG54" s="48" t="s">
        <v>171</v>
      </c>
      <c r="CH54" s="76"/>
      <c r="CI54" s="76"/>
      <c r="DB54" s="101">
        <f>COUNTIF(DC4:DC52,"Incremento")</f>
        <v>20</v>
      </c>
      <c r="DY54" s="101">
        <f>COUNTIF(DZ4:DZ52,"Incremento")</f>
        <v>3</v>
      </c>
      <c r="IS54" s="102"/>
    </row>
    <row r="55" spans="1:253" x14ac:dyDescent="0.3">
      <c r="A55" s="48" t="s">
        <v>595</v>
      </c>
      <c r="AJ55" s="100" t="s">
        <v>168</v>
      </c>
      <c r="AK55" s="103">
        <f t="shared" ref="AK55:AP55" si="123">AK53/AK54</f>
        <v>0.14286680404922691</v>
      </c>
      <c r="AL55" s="103">
        <f t="shared" si="123"/>
        <v>0.14564017348391131</v>
      </c>
      <c r="AM55" s="103">
        <f t="shared" si="123"/>
        <v>0.15382341507551733</v>
      </c>
      <c r="AN55" s="103">
        <f t="shared" si="123"/>
        <v>0.14380131586102535</v>
      </c>
      <c r="AO55" s="103">
        <f t="shared" si="123"/>
        <v>0.13996045904805304</v>
      </c>
      <c r="AP55" s="103">
        <f t="shared" si="123"/>
        <v>0.15459837556890488</v>
      </c>
      <c r="AQ55" s="103">
        <f t="shared" ref="AQ55" si="124">AQ53/AQ54</f>
        <v>0.15578060113434633</v>
      </c>
      <c r="AR55" s="103">
        <f>AR53/AR54</f>
        <v>0.14210577861555101</v>
      </c>
      <c r="AS55" s="103">
        <f>AS53/AS54</f>
        <v>0.13281897858203043</v>
      </c>
      <c r="AT55" s="102">
        <f>AVERAGE(AK55:AS55)</f>
        <v>0.14571065571317407</v>
      </c>
      <c r="BF55" s="104">
        <f>COUNTIF(BG4:BG52,"Diminuzione")</f>
        <v>28</v>
      </c>
      <c r="BG55" s="102">
        <f>BF55/49</f>
        <v>0.5714285714285714</v>
      </c>
      <c r="BH55" s="48" t="s">
        <v>629</v>
      </c>
      <c r="BI55" s="148" t="s">
        <v>186</v>
      </c>
      <c r="BJ55" s="148"/>
      <c r="BK55" s="148"/>
      <c r="CE55" s="104">
        <f>COUNTIF(CF4:CF52,"Diminuzione")</f>
        <v>31</v>
      </c>
      <c r="CF55" s="102">
        <f>CE55/49</f>
        <v>0.63265306122448983</v>
      </c>
      <c r="CG55" s="48" t="s">
        <v>172</v>
      </c>
      <c r="DB55" s="104">
        <f>COUNTIF(DC4:DC52,"Diminuzione")</f>
        <v>28</v>
      </c>
      <c r="DC55" s="102">
        <f>DB54/48</f>
        <v>0.41666666666666669</v>
      </c>
      <c r="DD55" s="48" t="s">
        <v>171</v>
      </c>
      <c r="DY55" s="104">
        <f>COUNTIF(DZ4:DZ52,"Diminuzione")</f>
        <v>11</v>
      </c>
      <c r="DZ55" s="102">
        <f>DY54/14</f>
        <v>0.21428571428571427</v>
      </c>
      <c r="EA55" s="48" t="s">
        <v>171</v>
      </c>
      <c r="IS55" s="102"/>
    </row>
    <row r="56" spans="1:253" x14ac:dyDescent="0.3">
      <c r="AJ56" s="105" t="s">
        <v>211</v>
      </c>
      <c r="AK56" s="127">
        <f>SUM(AK6,AK10,AK12,AK17,AK18,AK36,AK45)</f>
        <v>38535422</v>
      </c>
      <c r="AL56" s="127">
        <f>SUM(AL6,AL10,AL12,AL17,AL18,AL36,AL45)</f>
        <v>38527383</v>
      </c>
      <c r="AM56" s="127">
        <f t="shared" ref="AM56:AP56" si="125">SUM(AM6,AM10,AM12,AM17,AM18,AM36,AM45)</f>
        <v>39534499</v>
      </c>
      <c r="AN56" s="127">
        <f t="shared" si="125"/>
        <v>37065915</v>
      </c>
      <c r="AO56" s="127">
        <f t="shared" si="125"/>
        <v>34884262.5</v>
      </c>
      <c r="AP56" s="127">
        <f t="shared" si="125"/>
        <v>35167843</v>
      </c>
      <c r="AQ56" s="127">
        <f>SUM(AQ6,AQ10,AQ12,AQ17,AQ18,AQ36,AQ45)</f>
        <v>31492638</v>
      </c>
      <c r="AR56" s="127">
        <f>SUM(AR6,AR10,AR12,AR17,AR18,AR36,AR45)</f>
        <v>27899019</v>
      </c>
      <c r="AS56" s="127">
        <f>SUM(AS6,AS10,AS12,AS17,AS18,AS36,AS45)</f>
        <v>20661806</v>
      </c>
      <c r="BE56" s="106" t="s">
        <v>216</v>
      </c>
      <c r="BF56" s="107">
        <f>_xlfn.VAR.S(BF4:BF52)</f>
        <v>1.3431381913926956E-2</v>
      </c>
      <c r="BI56" s="48" t="s">
        <v>181</v>
      </c>
      <c r="BJ56" s="48">
        <f>COUNTIF(BI4:BI52,"Carbone")</f>
        <v>7</v>
      </c>
      <c r="BK56" s="102">
        <f>BJ56/49</f>
        <v>0.14285714285714285</v>
      </c>
      <c r="CD56" s="106" t="s">
        <v>216</v>
      </c>
      <c r="CE56" s="107">
        <f>_xlfn.VAR.S(CE4:CE52)</f>
        <v>0.10661449257354118</v>
      </c>
      <c r="DA56" s="106" t="s">
        <v>216</v>
      </c>
      <c r="DB56" s="107">
        <f>_xlfn.VAR.S(DB4:DB7,DB9:DB28,DB30:DB52)</f>
        <v>0.87890830592401137</v>
      </c>
      <c r="DC56" s="102">
        <f>DB55/48</f>
        <v>0.58333333333333337</v>
      </c>
      <c r="DD56" s="48" t="s">
        <v>172</v>
      </c>
      <c r="DX56" s="106" t="s">
        <v>216</v>
      </c>
      <c r="DY56" s="107">
        <f>_xlfn.VAR.S(DY6,DY8:DY10,DY12,DY16:DY18,DY30,DY35:DY36,DY40,DY45,DY47)</f>
        <v>0.21404767089997742</v>
      </c>
      <c r="DZ56" s="102">
        <f>DY55/14</f>
        <v>0.7857142857142857</v>
      </c>
      <c r="EA56" s="48" t="s">
        <v>172</v>
      </c>
    </row>
    <row r="57" spans="1:253" x14ac:dyDescent="0.3">
      <c r="A57" s="48" t="s">
        <v>596</v>
      </c>
      <c r="AJ57" s="105" t="s">
        <v>168</v>
      </c>
      <c r="AK57" s="108">
        <f t="shared" ref="AK57:AP57" si="126">AK56/AK54</f>
        <v>9.0825978929404999E-2</v>
      </c>
      <c r="AL57" s="108">
        <f t="shared" si="126"/>
        <v>9.549547510813125E-2</v>
      </c>
      <c r="AM57" s="108">
        <f t="shared" si="126"/>
        <v>0.10689785864665785</v>
      </c>
      <c r="AN57" s="108">
        <f t="shared" si="126"/>
        <v>0.10602931932230444</v>
      </c>
      <c r="AO57" s="108">
        <f t="shared" si="126"/>
        <v>9.6551406179110649E-2</v>
      </c>
      <c r="AP57" s="108">
        <f t="shared" si="126"/>
        <v>9.8217534265275769E-2</v>
      </c>
      <c r="AQ57" s="108">
        <f>AQ56/AQ54</f>
        <v>8.9252220582966849E-2</v>
      </c>
      <c r="AR57" s="108">
        <f>AR56/AR54</f>
        <v>7.9935198639506655E-2</v>
      </c>
      <c r="AS57" s="108">
        <f>AS56/AS54</f>
        <v>6.0810766226086145E-2</v>
      </c>
      <c r="AT57" s="102">
        <f>AVERAGE(AK57:AS57)</f>
        <v>9.1557306433271632E-2</v>
      </c>
      <c r="BE57" s="106" t="s">
        <v>217</v>
      </c>
      <c r="BF57" s="109">
        <f>AVERAGE(BF4:BF52)</f>
        <v>-1.1297339968884528E-2</v>
      </c>
      <c r="BI57" s="48" t="s">
        <v>180</v>
      </c>
      <c r="BJ57" s="48">
        <f>COUNTIF(BI4:BI52,"Ciclo combinato")</f>
        <v>24</v>
      </c>
      <c r="BK57" s="102">
        <f>BJ57/49</f>
        <v>0.48979591836734693</v>
      </c>
      <c r="CD57" s="106" t="s">
        <v>217</v>
      </c>
      <c r="CE57" s="109">
        <f>AVERAGE(CE4:CE52)</f>
        <v>-8.4958466365856647E-2</v>
      </c>
      <c r="CF57" s="48" t="s">
        <v>570</v>
      </c>
      <c r="DA57" s="106" t="s">
        <v>217</v>
      </c>
      <c r="DB57" s="109">
        <f>AVERAGE(DB4:DB7,DB9:DB28,DB30:DB52)</f>
        <v>5.0226830877391181E-2</v>
      </c>
      <c r="DC57" s="48" t="s">
        <v>579</v>
      </c>
      <c r="DX57" s="106" t="s">
        <v>217</v>
      </c>
      <c r="DY57" s="109">
        <f>AVERAGE(DY6,DY8:DY10,DY12,DY16:DY18,DY30,DY35:DY36,DY40,DY45,DY47)</f>
        <v>-0.39394385168898322</v>
      </c>
    </row>
    <row r="58" spans="1:253" ht="31.2" x14ac:dyDescent="0.3">
      <c r="A58" s="48" t="s">
        <v>597</v>
      </c>
      <c r="BE58" s="110" t="s">
        <v>218</v>
      </c>
      <c r="BF58" s="111">
        <f>_xlfn.STDEV.S(BF4:BF52)</f>
        <v>0.11589383898174638</v>
      </c>
      <c r="BI58" s="48" t="s">
        <v>182</v>
      </c>
      <c r="BJ58" s="48">
        <f>COUNTIF(BI4:BI52,"Cogenerazione")</f>
        <v>18</v>
      </c>
      <c r="BK58" s="102">
        <f>BJ58/49</f>
        <v>0.36734693877551022</v>
      </c>
      <c r="CD58" s="110" t="s">
        <v>218</v>
      </c>
      <c r="CE58" s="111">
        <f>_xlfn.STDEV.S(CE4:CE52)</f>
        <v>0.32651874766013234</v>
      </c>
      <c r="DA58" s="110" t="s">
        <v>218</v>
      </c>
      <c r="DB58" s="111">
        <f>_xlfn.STDEV.S(DB4:DB7,DB9:DB28,DB30:DB52)</f>
        <v>0.93750109649216484</v>
      </c>
      <c r="DX58" s="112" t="s">
        <v>218</v>
      </c>
      <c r="DY58" s="107">
        <f>_xlfn.STDEV.S(DY6,DY8:DY10,DY12,DY16:DY18,DY30,DY35:DY36,DY40,DY45,DY47)</f>
        <v>0.46265286219797391</v>
      </c>
      <c r="DZ58" s="48" t="s">
        <v>572</v>
      </c>
    </row>
    <row r="59" spans="1:253" ht="28.8" customHeight="1" x14ac:dyDescent="0.3">
      <c r="AS59" s="112" t="s">
        <v>627</v>
      </c>
      <c r="AT59" s="128">
        <f>AVERAGE(AT4:AT39,AT41:AT42,AT44:AT47,AT49)</f>
        <v>469.43406966661234</v>
      </c>
      <c r="AU59" s="128">
        <f>AVERAGE(AU4:AU39,AU41:AU47,AU49,AU51:AU52)</f>
        <v>478.85377667181189</v>
      </c>
      <c r="AV59" s="128">
        <f>AVERAGE(AV4:AV39,AV41:AV52)</f>
        <v>476.51466979592038</v>
      </c>
      <c r="AW59" s="128">
        <f>AVERAGE(AW4:AW39,AW41:AW52)</f>
        <v>473.87630969331923</v>
      </c>
      <c r="AX59" s="128">
        <f>AVERAGE(AX4:AX39,AX41:AX52)</f>
        <v>492.57503487718822</v>
      </c>
      <c r="AY59" s="128">
        <f>AVERAGE(AY4:AY52)</f>
        <v>470.3456926703513</v>
      </c>
      <c r="AZ59" s="128">
        <f>AVERAGE(AZ4:AZ52)</f>
        <v>459.92328443965113</v>
      </c>
      <c r="BA59" s="128">
        <f>AVERAGE(BA4:BA52)</f>
        <v>461.321877304091</v>
      </c>
      <c r="BB59" s="128">
        <f>AVERAGE(BB4:BB52)</f>
        <v>461.8545117775264</v>
      </c>
      <c r="BE59" s="149" t="s">
        <v>581</v>
      </c>
      <c r="BF59" s="150"/>
      <c r="BG59" s="151"/>
      <c r="BK59" s="102"/>
      <c r="CD59" s="149" t="s">
        <v>581</v>
      </c>
      <c r="CE59" s="150"/>
      <c r="CF59" s="151"/>
      <c r="DA59" s="140" t="s">
        <v>581</v>
      </c>
      <c r="DB59" s="140"/>
      <c r="DC59" s="140"/>
      <c r="DX59" s="140" t="s">
        <v>581</v>
      </c>
      <c r="DY59" s="140"/>
      <c r="DZ59" s="140"/>
    </row>
    <row r="60" spans="1:253" x14ac:dyDescent="0.3">
      <c r="BE60" s="129" t="s">
        <v>582</v>
      </c>
      <c r="BF60" s="130">
        <f>COUNTIF(BF4:BF52,"&lt;=0%")-COUNTIF(BF4:BF52,"&lt;=-5%")</f>
        <v>18</v>
      </c>
      <c r="BG60" s="131">
        <f t="shared" ref="BG60:BG67" si="127">BF60/49</f>
        <v>0.36734693877551022</v>
      </c>
      <c r="CD60" s="113" t="s">
        <v>582</v>
      </c>
      <c r="CE60" s="114">
        <f>COUNTIF(CE4:CE52,"&lt;=0%")-COUNTIF(CE4:CE52,"&lt;=-5%")</f>
        <v>4</v>
      </c>
      <c r="CF60" s="102">
        <f t="shared" ref="CF60:CF67" si="128">CE60/49</f>
        <v>8.1632653061224483E-2</v>
      </c>
      <c r="DA60" s="113" t="s">
        <v>582</v>
      </c>
      <c r="DB60" s="114">
        <f>COUNTIF(DB4:DB52,"&lt;=0%")-COUNTIF(DB4:DB52,"&lt;=-5%")</f>
        <v>1</v>
      </c>
      <c r="DC60" s="102">
        <f>DB60/48</f>
        <v>2.0833333333333332E-2</v>
      </c>
      <c r="DX60" s="113" t="s">
        <v>582</v>
      </c>
      <c r="DY60" s="114">
        <f>COUNTIF(DY4:DY52,"&lt;=0%")-COUNTIF(DY4:DY52,"&lt;=-5%")</f>
        <v>0</v>
      </c>
      <c r="DZ60" s="102">
        <f>DY60/14</f>
        <v>0</v>
      </c>
    </row>
    <row r="61" spans="1:253" x14ac:dyDescent="0.3">
      <c r="BE61" s="132" t="s">
        <v>583</v>
      </c>
      <c r="BF61" s="130">
        <f>COUNTIF(BF4:BF52,"&lt;-5%")-COUNTIF(BF4:BF52,"&lt;=-10%")</f>
        <v>5</v>
      </c>
      <c r="BG61" s="131">
        <f t="shared" si="127"/>
        <v>0.10204081632653061</v>
      </c>
      <c r="CD61" s="115" t="s">
        <v>583</v>
      </c>
      <c r="CE61" s="114">
        <f>COUNTIF(CE4:CE52,"&lt;-5%")-COUNTIF(CE4:CE52,"&lt;=-10%")</f>
        <v>5</v>
      </c>
      <c r="CF61" s="102">
        <f t="shared" si="128"/>
        <v>0.10204081632653061</v>
      </c>
      <c r="DA61" s="115" t="s">
        <v>583</v>
      </c>
      <c r="DB61" s="114">
        <f>COUNTIF(DB4:DB52,"&lt;-5%")-COUNTIF(DB4:DB52,"&lt;=-10%")</f>
        <v>1</v>
      </c>
      <c r="DC61" s="102">
        <f>DB61/48</f>
        <v>2.0833333333333332E-2</v>
      </c>
      <c r="DX61" s="115" t="s">
        <v>583</v>
      </c>
      <c r="DY61" s="114">
        <f>COUNTIF(DY4:DY52,"&lt;-5%")-COUNTIF(DY4:DY52,"&lt;=-10%")</f>
        <v>0</v>
      </c>
      <c r="DZ61" s="102">
        <f t="shared" ref="DZ61:DZ67" si="129">DY61/14</f>
        <v>0</v>
      </c>
    </row>
    <row r="62" spans="1:253" x14ac:dyDescent="0.3">
      <c r="A62" s="102">
        <f>16/18</f>
        <v>0.88888888888888884</v>
      </c>
      <c r="AR62" s="102"/>
      <c r="BE62" s="133" t="s">
        <v>584</v>
      </c>
      <c r="BF62" s="130">
        <f>COUNTIF(BF4:BF52,"&lt;-10%")-COUNTIF(BF4:BF52,"&lt;=-15%")</f>
        <v>2</v>
      </c>
      <c r="BG62" s="131">
        <f t="shared" si="127"/>
        <v>4.0816326530612242E-2</v>
      </c>
      <c r="CD62" s="116" t="s">
        <v>584</v>
      </c>
      <c r="CE62" s="114">
        <f>COUNTIF(CE4:CE52,"&lt;-10%")-COUNTIF(CE4:CE52,"&lt;=-15%")</f>
        <v>4</v>
      </c>
      <c r="CF62" s="102">
        <f t="shared" si="128"/>
        <v>8.1632653061224483E-2</v>
      </c>
      <c r="DA62" s="116" t="s">
        <v>584</v>
      </c>
      <c r="DB62" s="114">
        <f>COUNTIF(DB4:DB52,"&lt;-10%")-COUNTIF(DB4:DB52,"&lt;=-15%")</f>
        <v>1</v>
      </c>
      <c r="DC62" s="102">
        <f>DB62/48</f>
        <v>2.0833333333333332E-2</v>
      </c>
      <c r="DX62" s="116" t="s">
        <v>584</v>
      </c>
      <c r="DY62" s="114">
        <f>COUNTIF(DY4:DY52,"&lt;-10%")-COUNTIF(DY4:DY52,"&lt;=-15%")</f>
        <v>1</v>
      </c>
      <c r="DZ62" s="102">
        <f t="shared" si="129"/>
        <v>7.1428571428571425E-2</v>
      </c>
    </row>
    <row r="63" spans="1:253" x14ac:dyDescent="0.3">
      <c r="A63" s="102">
        <f>2/18</f>
        <v>0.1111111111111111</v>
      </c>
      <c r="BE63" s="134" t="s">
        <v>585</v>
      </c>
      <c r="BF63" s="130">
        <f>COUNTIF(BF4:BF52,"&lt;-15%")</f>
        <v>3</v>
      </c>
      <c r="BG63" s="131">
        <f t="shared" si="127"/>
        <v>6.1224489795918366E-2</v>
      </c>
      <c r="CD63" s="117" t="s">
        <v>585</v>
      </c>
      <c r="CE63" s="114">
        <f>COUNTIF(CE4:CE52,"&lt;-15%")</f>
        <v>18</v>
      </c>
      <c r="CF63" s="102">
        <f t="shared" si="128"/>
        <v>0.36734693877551022</v>
      </c>
      <c r="DA63" s="117" t="s">
        <v>585</v>
      </c>
      <c r="DB63" s="114">
        <f>COUNTIF(DB4:DB52,"&lt;-15%")</f>
        <v>25</v>
      </c>
      <c r="DC63" s="102">
        <f>DB63/48</f>
        <v>0.52083333333333337</v>
      </c>
      <c r="DX63" s="117" t="s">
        <v>585</v>
      </c>
      <c r="DY63" s="114">
        <f>COUNTIF(DY4:DY52,"&lt;-15%")</f>
        <v>10</v>
      </c>
      <c r="DZ63" s="102">
        <f t="shared" si="129"/>
        <v>0.7142857142857143</v>
      </c>
    </row>
    <row r="64" spans="1:253" x14ac:dyDescent="0.3">
      <c r="C64" s="118"/>
      <c r="D64" s="118"/>
      <c r="E64" s="118"/>
      <c r="F64" s="118"/>
      <c r="G64" s="118"/>
      <c r="AS64" s="102">
        <f>AS57/AS55</f>
        <v>0.45784696490892501</v>
      </c>
      <c r="BE64" s="135" t="s">
        <v>586</v>
      </c>
      <c r="BF64" s="130">
        <f>COUNTIF(BF4:BF52,"&gt;0%")-COUNTIF(BF4:BF52,"&gt;=5%")</f>
        <v>14</v>
      </c>
      <c r="BG64" s="131">
        <f t="shared" si="127"/>
        <v>0.2857142857142857</v>
      </c>
      <c r="CD64" s="119" t="s">
        <v>586</v>
      </c>
      <c r="CE64" s="114">
        <f>COUNTIF(CE4:CE52,"&gt;0%")-COUNTIF(CE4:CE52,"&gt;=5%")</f>
        <v>1</v>
      </c>
      <c r="CF64" s="102">
        <f t="shared" si="128"/>
        <v>2.0408163265306121E-2</v>
      </c>
      <c r="DA64" s="119" t="s">
        <v>586</v>
      </c>
      <c r="DB64" s="114">
        <f>COUNTIF(DB4:DB52,"&gt;0%")-COUNTIF(DB4:DB52,"&gt;=5%")</f>
        <v>3</v>
      </c>
      <c r="DC64" s="102">
        <f t="shared" ref="DC64" si="130">DB64/48</f>
        <v>6.25E-2</v>
      </c>
      <c r="DX64" s="119" t="s">
        <v>586</v>
      </c>
      <c r="DY64" s="114">
        <f>COUNTIF(DY4:DY52,"&gt;0%")-COUNTIF(DY4:DY52,"&gt;=5%")</f>
        <v>0</v>
      </c>
      <c r="DZ64" s="102">
        <f t="shared" si="129"/>
        <v>0</v>
      </c>
    </row>
    <row r="65" spans="44:132" x14ac:dyDescent="0.3">
      <c r="BE65" s="136" t="s">
        <v>587</v>
      </c>
      <c r="BF65" s="130">
        <f>COUNTIF(BF4:BF52,"&gt;5%")-COUNTIF(BF4:BF52,"&gt;=10%")</f>
        <v>3</v>
      </c>
      <c r="BG65" s="131">
        <f t="shared" si="127"/>
        <v>6.1224489795918366E-2</v>
      </c>
      <c r="CD65" s="121" t="s">
        <v>587</v>
      </c>
      <c r="CE65" s="114">
        <f>COUNTIF(CE4:CE52,"&gt;5%")-COUNTIF(CE4:CE52,"&gt;=10%")</f>
        <v>3</v>
      </c>
      <c r="CF65" s="102">
        <f t="shared" si="128"/>
        <v>6.1224489795918366E-2</v>
      </c>
      <c r="DA65" s="120" t="s">
        <v>587</v>
      </c>
      <c r="DB65" s="114">
        <f>COUNTIF(DB4:DB52,"&gt;5%")-COUNTIF(DB4:DB52,"&gt;=10%")</f>
        <v>1</v>
      </c>
      <c r="DC65" s="102">
        <f>DB65/48</f>
        <v>2.0833333333333332E-2</v>
      </c>
      <c r="DX65" s="120" t="s">
        <v>587</v>
      </c>
      <c r="DY65" s="114">
        <f>COUNTIF(DY4:DY52,"&gt;5%")-COUNTIF(DY4:DY52,"&gt;=10%")</f>
        <v>0</v>
      </c>
      <c r="DZ65" s="102">
        <f t="shared" si="129"/>
        <v>0</v>
      </c>
    </row>
    <row r="66" spans="44:132" x14ac:dyDescent="0.3">
      <c r="BE66" s="137" t="s">
        <v>588</v>
      </c>
      <c r="BF66" s="130">
        <f>COUNTIF(BF4:BF52,"&gt;10%")-COUNTIF(BF4:BF52,"&gt;=15%")</f>
        <v>0</v>
      </c>
      <c r="BG66" s="131">
        <f t="shared" si="127"/>
        <v>0</v>
      </c>
      <c r="CD66" s="122" t="s">
        <v>588</v>
      </c>
      <c r="CE66" s="114">
        <f>COUNTIF(CE4:CE52,"&gt;10%")-COUNTIF(CE4:CE52,"&gt;=15%")</f>
        <v>3</v>
      </c>
      <c r="CF66" s="102">
        <f t="shared" si="128"/>
        <v>6.1224489795918366E-2</v>
      </c>
      <c r="DA66" s="122" t="s">
        <v>588</v>
      </c>
      <c r="DB66" s="114">
        <f>COUNTIF(DB4:DB52,"&gt;10%")-COUNTIF(DB4:DB52,"&gt;=15%")</f>
        <v>1</v>
      </c>
      <c r="DC66" s="102">
        <f>DB66/48</f>
        <v>2.0833333333333332E-2</v>
      </c>
      <c r="DX66" s="122" t="s">
        <v>588</v>
      </c>
      <c r="DY66" s="114">
        <f>COUNTIF(DY4:DY52,"&gt;10%")-COUNTIF(DY4:DY52,"&gt;=15%")</f>
        <v>0</v>
      </c>
      <c r="DZ66" s="102">
        <f t="shared" si="129"/>
        <v>0</v>
      </c>
    </row>
    <row r="67" spans="44:132" x14ac:dyDescent="0.3">
      <c r="BE67" s="138" t="s">
        <v>589</v>
      </c>
      <c r="BF67" s="130">
        <f>COUNTIF(BF4:BF52,"&gt;15%")</f>
        <v>4</v>
      </c>
      <c r="BG67" s="131">
        <f t="shared" si="127"/>
        <v>8.1632653061224483E-2</v>
      </c>
      <c r="CD67" s="123" t="s">
        <v>589</v>
      </c>
      <c r="CE67" s="114">
        <f>COUNTIF(CE4:CE52,"&gt;15%")</f>
        <v>11</v>
      </c>
      <c r="CF67" s="102">
        <f t="shared" si="128"/>
        <v>0.22448979591836735</v>
      </c>
      <c r="DA67" s="123" t="s">
        <v>589</v>
      </c>
      <c r="DB67" s="114">
        <f>COUNTIF(DB4:DB52,"&gt;15%")</f>
        <v>15</v>
      </c>
      <c r="DC67" s="102">
        <f>DB67/48</f>
        <v>0.3125</v>
      </c>
      <c r="DX67" s="123" t="s">
        <v>589</v>
      </c>
      <c r="DY67" s="114">
        <f>COUNTIF(DY4:DY52,"&gt;15%")</f>
        <v>3</v>
      </c>
      <c r="DZ67" s="102">
        <f t="shared" si="129"/>
        <v>0.21428571428571427</v>
      </c>
    </row>
    <row r="70" spans="44:132" x14ac:dyDescent="0.3">
      <c r="AR70" s="102"/>
    </row>
    <row r="79" spans="44:132" x14ac:dyDescent="0.3">
      <c r="EB79" s="102">
        <f>DB54/45</f>
        <v>0.44444444444444442</v>
      </c>
    </row>
    <row r="80" spans="44:132" x14ac:dyDescent="0.3">
      <c r="EB80" s="102" t="e">
        <f>#REF!/45</f>
        <v>#REF!</v>
      </c>
    </row>
    <row r="81" spans="132:132" x14ac:dyDescent="0.3">
      <c r="EB81" s="102">
        <f>DB55/45</f>
        <v>0.62222222222222223</v>
      </c>
    </row>
    <row r="130" spans="18:175" x14ac:dyDescent="0.3">
      <c r="R130" s="48" t="s">
        <v>184</v>
      </c>
    </row>
    <row r="131" spans="18:175" x14ac:dyDescent="0.3">
      <c r="R131" s="48" t="s">
        <v>185</v>
      </c>
    </row>
    <row r="132" spans="18:175" x14ac:dyDescent="0.3">
      <c r="S132" s="102"/>
      <c r="DF132" s="48" t="s">
        <v>184</v>
      </c>
    </row>
    <row r="133" spans="18:175" x14ac:dyDescent="0.3">
      <c r="R133" s="48">
        <v>5</v>
      </c>
      <c r="S133" s="102">
        <f>5/7</f>
        <v>0.7142857142857143</v>
      </c>
      <c r="T133" s="141" t="s">
        <v>171</v>
      </c>
      <c r="U133" s="141"/>
      <c r="DF133" s="48" t="s">
        <v>185</v>
      </c>
      <c r="FP133" s="48" t="s">
        <v>184</v>
      </c>
    </row>
    <row r="134" spans="18:175" x14ac:dyDescent="0.3">
      <c r="R134" s="48">
        <v>2</v>
      </c>
      <c r="S134" s="102">
        <f>2/7</f>
        <v>0.2857142857142857</v>
      </c>
      <c r="T134" s="139" t="s">
        <v>172</v>
      </c>
      <c r="U134" s="139"/>
      <c r="BP134" s="48" t="s">
        <v>184</v>
      </c>
      <c r="FP134" s="48" t="s">
        <v>185</v>
      </c>
    </row>
    <row r="135" spans="18:175" x14ac:dyDescent="0.3">
      <c r="BP135" s="48" t="s">
        <v>185</v>
      </c>
      <c r="DF135" s="48">
        <v>2</v>
      </c>
      <c r="DG135" s="102">
        <f>2/7</f>
        <v>0.2857142857142857</v>
      </c>
      <c r="DH135" s="141" t="s">
        <v>171</v>
      </c>
      <c r="DI135" s="141"/>
    </row>
    <row r="136" spans="18:175" x14ac:dyDescent="0.3">
      <c r="DF136" s="48">
        <v>5</v>
      </c>
      <c r="DG136" s="102">
        <f>5/7</f>
        <v>0.7142857142857143</v>
      </c>
      <c r="DH136" s="139" t="s">
        <v>172</v>
      </c>
      <c r="DI136" s="139"/>
      <c r="FP136" s="48">
        <v>2</v>
      </c>
      <c r="FQ136" s="102">
        <f>2/7</f>
        <v>0.2857142857142857</v>
      </c>
      <c r="FR136" s="141" t="s">
        <v>171</v>
      </c>
      <c r="FS136" s="141"/>
    </row>
    <row r="137" spans="18:175" x14ac:dyDescent="0.3">
      <c r="BP137" s="48">
        <v>2</v>
      </c>
      <c r="BQ137" s="102">
        <f>2/7</f>
        <v>0.2857142857142857</v>
      </c>
      <c r="BR137" s="141" t="s">
        <v>171</v>
      </c>
      <c r="BS137" s="141"/>
      <c r="FP137" s="48">
        <v>5</v>
      </c>
      <c r="FQ137" s="102">
        <f>5/7</f>
        <v>0.7142857142857143</v>
      </c>
      <c r="FR137" s="139" t="s">
        <v>172</v>
      </c>
      <c r="FS137" s="139"/>
    </row>
    <row r="138" spans="18:175" x14ac:dyDescent="0.3">
      <c r="R138" s="124" t="s">
        <v>219</v>
      </c>
      <c r="S138" s="124"/>
      <c r="T138" s="107">
        <f>_xlfn.VAR.S(BF6,BF10,BF12,BF17,BF18,BF36,BF45)</f>
        <v>1.2772564220692751E-2</v>
      </c>
      <c r="BP138" s="48">
        <v>5</v>
      </c>
      <c r="BQ138" s="102">
        <f>5/7</f>
        <v>0.7142857142857143</v>
      </c>
      <c r="BR138" s="139" t="s">
        <v>172</v>
      </c>
      <c r="BS138" s="139"/>
      <c r="DF138" s="143" t="s">
        <v>206</v>
      </c>
      <c r="DG138" s="143"/>
      <c r="DH138" s="107">
        <f>_xlfn.VAR.S(DB6,DB10,DB12,DB17,DB36,DB45)</f>
        <v>9.7662711398516039E-2</v>
      </c>
    </row>
    <row r="139" spans="18:175" x14ac:dyDescent="0.3">
      <c r="R139" s="124" t="s">
        <v>220</v>
      </c>
      <c r="S139" s="124"/>
      <c r="T139" s="109">
        <f>AVERAGE(BF6,BF10,BF12,BF17,BF18,BF36,BF45)</f>
        <v>0.10091851630312257</v>
      </c>
      <c r="DF139" s="143" t="s">
        <v>208</v>
      </c>
      <c r="DG139" s="143"/>
      <c r="DH139" s="109">
        <f>AVERAGE(DB6,DB10,DB12,DB17,DB36,DB45)</f>
        <v>-0.22417001273775469</v>
      </c>
      <c r="FP139" s="142" t="s">
        <v>206</v>
      </c>
      <c r="FQ139" s="142"/>
      <c r="FR139" s="125">
        <f>_xlfn.VAR.S(DY6,DY10,DY12,DY17,DY18,DY36,DY45)</f>
        <v>0.10171439033882657</v>
      </c>
    </row>
    <row r="140" spans="18:175" x14ac:dyDescent="0.3">
      <c r="R140" s="124" t="s">
        <v>221</v>
      </c>
      <c r="S140" s="124"/>
      <c r="T140" s="107">
        <f>_xlfn.STDEV.S(BF6,BF10,BF12,BF17,BF18,BF36,BF45)</f>
        <v>0.11301576978763959</v>
      </c>
      <c r="DF140" s="143" t="s">
        <v>209</v>
      </c>
      <c r="DG140" s="143"/>
      <c r="DH140" s="107">
        <f>_xlfn.STDEV.S(DB6,DB10,DB12,DB17,DB36,DB45)</f>
        <v>0.31251033806662465</v>
      </c>
      <c r="FP140" s="142" t="s">
        <v>208</v>
      </c>
      <c r="FQ140" s="142"/>
      <c r="FR140" s="126">
        <f>AVERAGE(DY6,DY10,DY12,DY17,DY18,DY36,DY45)</f>
        <v>-0.21477349500346873</v>
      </c>
    </row>
    <row r="141" spans="18:175" x14ac:dyDescent="0.3">
      <c r="FP141" s="142" t="s">
        <v>209</v>
      </c>
      <c r="FQ141" s="142"/>
      <c r="FR141" s="125">
        <f>_xlfn.STDEV.S(DY6,DY10,DY12,DY17,DY18,DY36,DY45)</f>
        <v>0.31892693573736691</v>
      </c>
    </row>
    <row r="142" spans="18:175" x14ac:dyDescent="0.3">
      <c r="BP142" s="143" t="s">
        <v>206</v>
      </c>
      <c r="BQ142" s="143"/>
      <c r="BR142" s="107">
        <f>_xlfn.VAR.S(CE6,CE10,CE12,CE17,CE18,CE36,CE45)</f>
        <v>3.1662606170576153E-2</v>
      </c>
    </row>
    <row r="143" spans="18:175" x14ac:dyDescent="0.3">
      <c r="BP143" s="143" t="s">
        <v>208</v>
      </c>
      <c r="BQ143" s="143"/>
      <c r="BR143" s="109">
        <f>AVERAGE(CE6,CE10,CE12,CE17,CE18,CE36,CE45)</f>
        <v>-0.1483066029550551</v>
      </c>
    </row>
    <row r="144" spans="18:175" x14ac:dyDescent="0.3">
      <c r="BP144" s="143" t="s">
        <v>209</v>
      </c>
      <c r="BQ144" s="143"/>
      <c r="BR144" s="107">
        <f>_xlfn.STDEV.S(CE6,CE10,CE12,CE17,CE18,CE36,CE45)</f>
        <v>0.17793989482568587</v>
      </c>
      <c r="FR144" s="102"/>
    </row>
    <row r="145" spans="18:174" x14ac:dyDescent="0.3">
      <c r="FP145" s="102">
        <f>4/7</f>
        <v>0.5714285714285714</v>
      </c>
      <c r="FR145" s="102"/>
    </row>
    <row r="149" spans="18:174" x14ac:dyDescent="0.3">
      <c r="BQ149" s="102"/>
    </row>
    <row r="153" spans="18:174" x14ac:dyDescent="0.3">
      <c r="S153" s="48">
        <f>4/7</f>
        <v>0.5714285714285714</v>
      </c>
    </row>
    <row r="158" spans="18:174" x14ac:dyDescent="0.3">
      <c r="BR158" s="64"/>
      <c r="BS158" s="64"/>
      <c r="BT158" s="64"/>
      <c r="BU158" s="64"/>
      <c r="BV158" s="64"/>
      <c r="BW158" s="64"/>
      <c r="BX158" s="64"/>
    </row>
    <row r="159" spans="18:174" x14ac:dyDescent="0.3">
      <c r="R159" s="48" t="s">
        <v>205</v>
      </c>
    </row>
    <row r="160" spans="18:174" x14ac:dyDescent="0.3">
      <c r="R160" s="48" t="s">
        <v>568</v>
      </c>
    </row>
    <row r="162" spans="18:175" ht="30" customHeight="1" x14ac:dyDescent="0.3"/>
    <row r="164" spans="18:175" x14ac:dyDescent="0.3">
      <c r="R164" s="48">
        <v>11</v>
      </c>
      <c r="S164" s="102">
        <f>11/24</f>
        <v>0.45833333333333331</v>
      </c>
      <c r="T164" s="141" t="s">
        <v>628</v>
      </c>
      <c r="U164" s="141"/>
    </row>
    <row r="165" spans="18:175" x14ac:dyDescent="0.3">
      <c r="R165" s="48">
        <v>13</v>
      </c>
      <c r="S165" s="102">
        <f>13/24</f>
        <v>0.54166666666666663</v>
      </c>
      <c r="T165" s="139" t="s">
        <v>629</v>
      </c>
      <c r="U165" s="139"/>
    </row>
    <row r="167" spans="18:175" x14ac:dyDescent="0.3">
      <c r="R167" s="143" t="s">
        <v>222</v>
      </c>
      <c r="S167" s="143"/>
      <c r="T167" s="107">
        <f>_xlfn.VAR.S(BF4,BF7,BF9,BF11,BF13,BF14,BF15,BF16,BF19,BF20,BF21,BF23,BF24,BF29,BF30,BF32,BF34,BF38,BF39,BF41,BF42,BF46,BF48,BF51)</f>
        <v>1.3314069575363044E-3</v>
      </c>
    </row>
    <row r="168" spans="18:175" x14ac:dyDescent="0.3">
      <c r="R168" s="143" t="s">
        <v>223</v>
      </c>
      <c r="S168" s="143"/>
      <c r="T168" s="109">
        <f>AVERAGE(BF4,BF7,BF9,BF11,BF13,BF14,BF15,BF16,BF19,BF20,BF21,BF23,BF24,BF29,BF30,BF32,BF34,BF38,BF39,BF41,BF42,BF46,BF48,BF51)</f>
        <v>1.2243438113916927E-3</v>
      </c>
    </row>
    <row r="169" spans="18:175" x14ac:dyDescent="0.3">
      <c r="R169" s="144" t="s">
        <v>224</v>
      </c>
      <c r="S169" s="144"/>
      <c r="T169" s="107">
        <f>_xlfn.STDEV.S(BF4,BF7,BF9,BF11,BF13,BF14,BF15,BF16,BF19,BF20,BF21,BF23,BF24,BF29,BF30,BF32,BF34,BF38,BF39,BF41,BF42,BF46,BF48,BF51)</f>
        <v>3.6488449645556392E-2</v>
      </c>
      <c r="DF169" s="48" t="s">
        <v>205</v>
      </c>
    </row>
    <row r="170" spans="18:175" x14ac:dyDescent="0.3">
      <c r="BP170" s="48" t="s">
        <v>205</v>
      </c>
      <c r="DF170" s="48" t="s">
        <v>568</v>
      </c>
    </row>
    <row r="171" spans="18:175" x14ac:dyDescent="0.3">
      <c r="BP171" s="48" t="s">
        <v>568</v>
      </c>
    </row>
    <row r="172" spans="18:175" x14ac:dyDescent="0.3">
      <c r="DF172" s="48">
        <v>10</v>
      </c>
      <c r="DG172" s="102">
        <f>10/24</f>
        <v>0.41666666666666669</v>
      </c>
      <c r="DH172" s="141" t="s">
        <v>171</v>
      </c>
      <c r="DI172" s="141"/>
      <c r="FP172" s="48" t="s">
        <v>205</v>
      </c>
    </row>
    <row r="173" spans="18:175" x14ac:dyDescent="0.3">
      <c r="S173" s="48">
        <f>3/24</f>
        <v>0.125</v>
      </c>
      <c r="BP173" s="48">
        <v>9</v>
      </c>
      <c r="BQ173" s="102">
        <f>9/24</f>
        <v>0.375</v>
      </c>
      <c r="BR173" s="141" t="s">
        <v>171</v>
      </c>
      <c r="BS173" s="141"/>
      <c r="DF173" s="48">
        <v>14</v>
      </c>
      <c r="DG173" s="102">
        <f>14/24</f>
        <v>0.58333333333333337</v>
      </c>
      <c r="DH173" s="139" t="s">
        <v>172</v>
      </c>
      <c r="DI173" s="139"/>
      <c r="FP173" s="48" t="s">
        <v>573</v>
      </c>
    </row>
    <row r="174" spans="18:175" x14ac:dyDescent="0.3">
      <c r="S174" s="48">
        <f>21/24</f>
        <v>0.875</v>
      </c>
      <c r="BP174" s="48">
        <v>15</v>
      </c>
      <c r="BQ174" s="102">
        <f>15/24</f>
        <v>0.625</v>
      </c>
      <c r="BR174" s="139" t="s">
        <v>172</v>
      </c>
      <c r="BS174" s="139"/>
    </row>
    <row r="175" spans="18:175" x14ac:dyDescent="0.3">
      <c r="FP175" s="48">
        <v>0</v>
      </c>
      <c r="FQ175" s="102">
        <f>0/3</f>
        <v>0</v>
      </c>
      <c r="FR175" s="141" t="s">
        <v>171</v>
      </c>
      <c r="FS175" s="141"/>
    </row>
    <row r="176" spans="18:175" x14ac:dyDescent="0.3">
      <c r="DF176" s="143" t="s">
        <v>206</v>
      </c>
      <c r="DG176" s="143"/>
      <c r="DH176" s="107">
        <f>_xlfn.VAR.S(DB4,DB7,DB9,DB11,DB13,DB14,DB15,DB16,DB19,DB20,DB21,DB23,DB24,DB30,DB32,DB34,DB38,DB39,DB41,DB42,DB46,DB48,DB51)</f>
        <v>0.86858780926061918</v>
      </c>
      <c r="FP176" s="48">
        <v>3</v>
      </c>
      <c r="FQ176" s="102">
        <f>3/3</f>
        <v>1</v>
      </c>
      <c r="FR176" s="139" t="s">
        <v>172</v>
      </c>
      <c r="FS176" s="139"/>
    </row>
    <row r="177" spans="21:174" x14ac:dyDescent="0.3">
      <c r="BP177" s="143" t="s">
        <v>206</v>
      </c>
      <c r="BQ177" s="143"/>
      <c r="BR177" s="107">
        <f>_xlfn.VAR.S(CE4,CE7,CE9,CE11,CE13,CE14,CE15,CE16,CE19,CE20,CE21,CE23,CE24,CE29,CE30,CE32,CE34,CE38,CE39,CE41,CE42,CE46,CE48,CE51)</f>
        <v>0.1286437463913751</v>
      </c>
      <c r="DF177" s="143" t="s">
        <v>208</v>
      </c>
      <c r="DG177" s="143"/>
      <c r="DH177" s="109">
        <f>AVERAGE(DB4,DB7,DB9,DB11,DB13,DB14,DB15,DB16,DB19,DB20,DB21,DB23,DB24,DB30,DB32,DB34,DB38,DB39,DB41,DB42,DB46,DB48,DB51)</f>
        <v>7.9992539748701172E-2</v>
      </c>
    </row>
    <row r="178" spans="21:174" x14ac:dyDescent="0.3">
      <c r="BP178" s="143" t="s">
        <v>208</v>
      </c>
      <c r="BQ178" s="143"/>
      <c r="BR178" s="109">
        <f>AVERAGE(CE4,CE7,CE9,CE11,CE13,CE14,CE15,CE16,CE19,CE20,CE21,CE23,CE24,CE29,CE30,CE32,CE34,CE38,CE39,CE41,CE42,CE46,CE48,CE51)</f>
        <v>-3.5205523008919264E-2</v>
      </c>
      <c r="DF178" s="143" t="s">
        <v>209</v>
      </c>
      <c r="DG178" s="143"/>
      <c r="DH178" s="107">
        <f>_xlfn.STDEV.S(DB4,DB7,DB9,DB11,DB13,DB14,DB15,DB16,DB19,DB20,DB21,DB23,DB24,DB30,DB32,DB34,DB38,DB39,DB41,DB42,DB46,DB48,DB51)</f>
        <v>0.93198058416504537</v>
      </c>
    </row>
    <row r="179" spans="21:174" x14ac:dyDescent="0.3">
      <c r="BP179" s="143" t="s">
        <v>209</v>
      </c>
      <c r="BQ179" s="143"/>
      <c r="BR179" s="107">
        <f>_xlfn.STDEV.S(CE4,CE7,CE9,CE11,CE13,CE14,CE15,CE16,CE19,CE20,CE21,CE23,CE24,CE29,CE30,CE32,CE34,CE38,CE39,CE41,CE42,CE46,CE48,CE51)</f>
        <v>0.35866941100597788</v>
      </c>
      <c r="FP179" s="142" t="s">
        <v>206</v>
      </c>
      <c r="FQ179" s="142"/>
      <c r="FR179" s="125">
        <f>_xlfn.VAR.S(DY9,DY16,DY30)</f>
        <v>0</v>
      </c>
    </row>
    <row r="180" spans="21:174" x14ac:dyDescent="0.3">
      <c r="FP180" s="142" t="s">
        <v>208</v>
      </c>
      <c r="FQ180" s="142"/>
      <c r="FR180" s="126">
        <f>AVERAGE(DY9,DY16,DY30)</f>
        <v>-1</v>
      </c>
    </row>
    <row r="181" spans="21:174" ht="15" customHeight="1" x14ac:dyDescent="0.3">
      <c r="FP181" s="142" t="s">
        <v>209</v>
      </c>
      <c r="FQ181" s="142"/>
      <c r="FR181" s="125">
        <f>_xlfn.STDEV.S(DY9,DY16,DY30)</f>
        <v>0</v>
      </c>
    </row>
    <row r="182" spans="21:174" x14ac:dyDescent="0.3">
      <c r="DH182" s="102"/>
    </row>
    <row r="183" spans="21:174" x14ac:dyDescent="0.3">
      <c r="DH183" s="102"/>
    </row>
    <row r="184" spans="21:174" x14ac:dyDescent="0.3">
      <c r="DG184" s="48">
        <f>19/24</f>
        <v>0.79166666666666663</v>
      </c>
      <c r="DH184" s="102"/>
    </row>
    <row r="185" spans="21:174" x14ac:dyDescent="0.3">
      <c r="AB185" s="102"/>
    </row>
    <row r="186" spans="21:174" x14ac:dyDescent="0.3">
      <c r="AB186" s="102"/>
    </row>
    <row r="188" spans="21:174" x14ac:dyDescent="0.3">
      <c r="U188" s="102"/>
      <c r="V188" s="102"/>
      <c r="W188" s="102"/>
      <c r="X188" s="102"/>
      <c r="Y188" s="102"/>
      <c r="Z188" s="102"/>
      <c r="AA188" s="102"/>
    </row>
    <row r="189" spans="21:174" x14ac:dyDescent="0.3">
      <c r="U189" s="102"/>
      <c r="V189" s="102"/>
      <c r="W189" s="102"/>
      <c r="X189" s="102"/>
      <c r="Y189" s="102"/>
      <c r="Z189" s="102"/>
      <c r="AA189" s="102"/>
    </row>
    <row r="190" spans="21:174" x14ac:dyDescent="0.3">
      <c r="U190" s="102"/>
      <c r="V190" s="102"/>
      <c r="W190" s="102"/>
      <c r="X190" s="102"/>
      <c r="Y190" s="102"/>
      <c r="Z190" s="102"/>
      <c r="AA190" s="102"/>
    </row>
    <row r="197" spans="18:110" ht="33" customHeight="1" x14ac:dyDescent="0.3"/>
    <row r="207" spans="18:110" x14ac:dyDescent="0.3">
      <c r="DF207" s="48" t="s">
        <v>207</v>
      </c>
    </row>
    <row r="208" spans="18:110" x14ac:dyDescent="0.3">
      <c r="R208" s="48" t="s">
        <v>207</v>
      </c>
      <c r="DF208" s="48" t="s">
        <v>571</v>
      </c>
    </row>
    <row r="209" spans="18:175" x14ac:dyDescent="0.3">
      <c r="R209" s="48" t="s">
        <v>569</v>
      </c>
      <c r="BP209" s="48" t="s">
        <v>207</v>
      </c>
    </row>
    <row r="210" spans="18:175" x14ac:dyDescent="0.3">
      <c r="BP210" s="48" t="s">
        <v>569</v>
      </c>
      <c r="DF210" s="48">
        <v>8</v>
      </c>
      <c r="DG210" s="102">
        <f>8/17</f>
        <v>0.47058823529411764</v>
      </c>
      <c r="DH210" s="141" t="s">
        <v>171</v>
      </c>
      <c r="DI210" s="141"/>
    </row>
    <row r="211" spans="18:175" x14ac:dyDescent="0.3">
      <c r="R211" s="48">
        <v>4</v>
      </c>
      <c r="S211" s="102">
        <f>4/18</f>
        <v>0.22222222222222221</v>
      </c>
      <c r="T211" s="141" t="s">
        <v>628</v>
      </c>
      <c r="U211" s="141"/>
      <c r="DF211" s="48">
        <v>9</v>
      </c>
      <c r="DG211" s="102">
        <f>9/17</f>
        <v>0.52941176470588236</v>
      </c>
      <c r="DH211" s="139" t="s">
        <v>172</v>
      </c>
      <c r="DI211" s="139"/>
    </row>
    <row r="212" spans="18:175" x14ac:dyDescent="0.3">
      <c r="R212" s="48">
        <v>14</v>
      </c>
      <c r="S212" s="102">
        <f>14/18</f>
        <v>0.77777777777777779</v>
      </c>
      <c r="T212" s="139" t="s">
        <v>629</v>
      </c>
      <c r="U212" s="139"/>
      <c r="BP212" s="48">
        <v>6</v>
      </c>
      <c r="BQ212" s="102">
        <f>6/18</f>
        <v>0.33333333333333331</v>
      </c>
      <c r="BR212" s="141" t="s">
        <v>171</v>
      </c>
      <c r="BS212" s="141"/>
    </row>
    <row r="213" spans="18:175" x14ac:dyDescent="0.3">
      <c r="T213" s="102"/>
      <c r="BP213" s="48">
        <v>12</v>
      </c>
      <c r="BQ213" s="102">
        <f>12/18</f>
        <v>0.66666666666666663</v>
      </c>
      <c r="BR213" s="139" t="s">
        <v>172</v>
      </c>
      <c r="BS213" s="139"/>
    </row>
    <row r="214" spans="18:175" x14ac:dyDescent="0.3">
      <c r="DF214" s="143" t="s">
        <v>206</v>
      </c>
      <c r="DG214" s="143"/>
      <c r="DH214" s="107">
        <f>_xlfn.VAR.S(DB5,DB22,DB25,DB26,DB27,DB28,DB31,DB33,DB35,DB37,DB40,DB43,DB44,DB47,DB49,DB50,DB52)</f>
        <v>1.1908094963912943</v>
      </c>
      <c r="FP214" s="48" t="s">
        <v>207</v>
      </c>
    </row>
    <row r="215" spans="18:175" x14ac:dyDescent="0.3">
      <c r="DF215" s="143" t="s">
        <v>208</v>
      </c>
      <c r="DG215" s="143"/>
      <c r="DH215" s="109">
        <f>AVERAGE(DB5,DB22,DB25,DB26,DB27,DB28,DB31,DB33,DB35,DB37,DB40,DB43,DB44,DB47,DB49,DB50,DB52)</f>
        <v>0.16772687365029992</v>
      </c>
      <c r="FP215" s="48" t="s">
        <v>215</v>
      </c>
    </row>
    <row r="216" spans="18:175" ht="15" customHeight="1" x14ac:dyDescent="0.3">
      <c r="BP216" s="143" t="s">
        <v>206</v>
      </c>
      <c r="BQ216" s="143"/>
      <c r="BR216" s="107">
        <f>_xlfn.VAR.S(CE5,CE8,CE22,CE25,CE26,CE27,CE28,CE31,CE33,CE35,CE37,CE40,CE43,CE44,CE47,CE49,CE50,CE52)</f>
        <v>0.10881832802057828</v>
      </c>
      <c r="DF216" s="143" t="s">
        <v>209</v>
      </c>
      <c r="DG216" s="143"/>
      <c r="DH216" s="107">
        <f>_xlfn.STDEV.S(DB5,DB22,DB25,DB26,DB27,DB28,DB31,DB33,DB35,DB37,DB40,DB43,DB44,DB47,DB49,DB50,DB52)</f>
        <v>1.0912421804490946</v>
      </c>
    </row>
    <row r="217" spans="18:175" x14ac:dyDescent="0.3">
      <c r="R217" s="124" t="s">
        <v>225</v>
      </c>
      <c r="S217" s="124"/>
      <c r="T217" s="107">
        <f>_xlfn.VAR.S(BF5,BF8,BF22,BF25,BF26,BF27,BF28,BF31,BF33,BF35,BF37,BF40,BF43,BF44,BF47,BF49,BF50,BF52)</f>
        <v>2.2353705095850159E-2</v>
      </c>
      <c r="BP217" s="143" t="s">
        <v>208</v>
      </c>
      <c r="BQ217" s="143"/>
      <c r="BR217" s="109">
        <f>AVERAGE(CE5,CE8,CE22,CE25,CE26,CE27,CE28,CE31,CE33,CE35,CE37,CE40,CE43,CE44,CE47,CE49,CE50,CE52)</f>
        <v>-0.12666033772375154</v>
      </c>
      <c r="FP217" s="48">
        <v>1</v>
      </c>
      <c r="FQ217" s="102">
        <f>1/4</f>
        <v>0.25</v>
      </c>
      <c r="FR217" s="141" t="s">
        <v>171</v>
      </c>
      <c r="FS217" s="141"/>
    </row>
    <row r="218" spans="18:175" x14ac:dyDescent="0.3">
      <c r="R218" s="124" t="s">
        <v>226</v>
      </c>
      <c r="S218" s="124"/>
      <c r="T218" s="109">
        <f>AVERAGE(BF5,BF8,BF22,BF25,BF26,BF27,BF28,BF31,BF33,BF35,BF37,BF40,BF43,BF44,BF47,BF49,BF50,BF52)</f>
        <v>-7.1632418003922255E-2</v>
      </c>
      <c r="BP218" s="143" t="s">
        <v>209</v>
      </c>
      <c r="BQ218" s="143"/>
      <c r="BR218" s="107">
        <f>_xlfn.STDEV.S(CE5,CE8,CE22,CE25,CE26,CE27,CE28,CE31,CE33,CE35,CE37,CE40,CE43,CE44,CE47,CE49,CE50,CE52)</f>
        <v>0.32987623136652067</v>
      </c>
      <c r="FP218" s="48">
        <v>3</v>
      </c>
      <c r="FQ218" s="102">
        <f>3/4</f>
        <v>0.75</v>
      </c>
      <c r="FR218" s="139" t="s">
        <v>172</v>
      </c>
      <c r="FS218" s="139"/>
    </row>
    <row r="219" spans="18:175" x14ac:dyDescent="0.3">
      <c r="R219" s="124" t="s">
        <v>227</v>
      </c>
      <c r="S219" s="112"/>
      <c r="T219" s="107">
        <f>_xlfn.STDEV.S(BF5,BF8,BF22,BF25,BF26,BF27,BF28,BF31,BF33,BF35,BF37,BF40,BF43,BF44,BF47,BF49,BF50,BF52)</f>
        <v>0.14951155505796251</v>
      </c>
    </row>
    <row r="221" spans="18:175" x14ac:dyDescent="0.3">
      <c r="BP221" s="102"/>
      <c r="FP221" s="142" t="s">
        <v>206</v>
      </c>
      <c r="FQ221" s="142"/>
      <c r="FR221" s="125">
        <f>_xlfn.VAR.S(DY8,DY35,DY40,DY47)</f>
        <v>0.25539662680925102</v>
      </c>
    </row>
    <row r="222" spans="18:175" x14ac:dyDescent="0.3">
      <c r="BP222" s="102"/>
      <c r="BY222" s="102"/>
      <c r="FP222" s="142" t="s">
        <v>208</v>
      </c>
      <c r="FQ222" s="142"/>
      <c r="FR222" s="126">
        <f>AVERAGE(DY8,DY35,DY40,DY47)</f>
        <v>-0.25294986465537095</v>
      </c>
    </row>
    <row r="223" spans="18:175" x14ac:dyDescent="0.3">
      <c r="R223" s="48">
        <f>2/18</f>
        <v>0.1111111111111111</v>
      </c>
      <c r="V223" s="102"/>
      <c r="W223" s="102"/>
      <c r="X223" s="102"/>
      <c r="Y223" s="102"/>
      <c r="Z223" s="102"/>
      <c r="AA223" s="102"/>
      <c r="AB223" s="102"/>
      <c r="BY223" s="102"/>
      <c r="FP223" s="142" t="s">
        <v>209</v>
      </c>
      <c r="FQ223" s="142"/>
      <c r="FR223" s="125">
        <f>_xlfn.STDEV.S(DY8,DY35,DY40,DY47)</f>
        <v>0.50536781338867542</v>
      </c>
    </row>
    <row r="224" spans="18:175" x14ac:dyDescent="0.3">
      <c r="R224" s="48">
        <f>9/18</f>
        <v>0.5</v>
      </c>
    </row>
    <row r="225" spans="18:18" x14ac:dyDescent="0.3">
      <c r="R225" s="48">
        <f>11/18</f>
        <v>0.61111111111111116</v>
      </c>
    </row>
  </sheetData>
  <mergeCells count="61">
    <mergeCell ref="FR175:FS175"/>
    <mergeCell ref="BI55:BK55"/>
    <mergeCell ref="R167:S167"/>
    <mergeCell ref="R168:S168"/>
    <mergeCell ref="R169:S169"/>
    <mergeCell ref="T134:U134"/>
    <mergeCell ref="T133:U133"/>
    <mergeCell ref="FP140:FQ140"/>
    <mergeCell ref="FP139:FQ139"/>
    <mergeCell ref="BR138:BS138"/>
    <mergeCell ref="DH136:DI136"/>
    <mergeCell ref="BE59:BG59"/>
    <mergeCell ref="CD59:CF59"/>
    <mergeCell ref="DX59:DZ59"/>
    <mergeCell ref="T164:U164"/>
    <mergeCell ref="DH172:DI172"/>
    <mergeCell ref="FR176:FS176"/>
    <mergeCell ref="FR137:FS137"/>
    <mergeCell ref="FR136:FS136"/>
    <mergeCell ref="FP223:FQ223"/>
    <mergeCell ref="T212:U212"/>
    <mergeCell ref="FP221:FQ221"/>
    <mergeCell ref="DF214:DG214"/>
    <mergeCell ref="BP218:BQ218"/>
    <mergeCell ref="DF216:DG216"/>
    <mergeCell ref="FP222:FQ222"/>
    <mergeCell ref="FR218:FS218"/>
    <mergeCell ref="FR217:FS217"/>
    <mergeCell ref="BP216:BQ216"/>
    <mergeCell ref="BR213:BS213"/>
    <mergeCell ref="DH211:DI211"/>
    <mergeCell ref="T211:U211"/>
    <mergeCell ref="BP217:BQ217"/>
    <mergeCell ref="DF215:DG215"/>
    <mergeCell ref="BP177:BQ177"/>
    <mergeCell ref="DF176:DG176"/>
    <mergeCell ref="BP178:BQ178"/>
    <mergeCell ref="DF177:DG177"/>
    <mergeCell ref="BP179:BQ179"/>
    <mergeCell ref="FP181:FQ181"/>
    <mergeCell ref="FP179:FQ179"/>
    <mergeCell ref="FP180:FQ180"/>
    <mergeCell ref="DF178:DG178"/>
    <mergeCell ref="V1:X1"/>
    <mergeCell ref="AN1:AT1"/>
    <mergeCell ref="BR137:BS137"/>
    <mergeCell ref="BP142:BQ142"/>
    <mergeCell ref="DF138:DG138"/>
    <mergeCell ref="BP143:BQ143"/>
    <mergeCell ref="DF139:DG139"/>
    <mergeCell ref="BP144:BQ144"/>
    <mergeCell ref="DF140:DG140"/>
    <mergeCell ref="DH135:DI135"/>
    <mergeCell ref="FP141:FQ141"/>
    <mergeCell ref="BR173:BS173"/>
    <mergeCell ref="T165:U165"/>
    <mergeCell ref="DH173:DI173"/>
    <mergeCell ref="DA59:DC59"/>
    <mergeCell ref="BR212:BS212"/>
    <mergeCell ref="DH210:DI210"/>
    <mergeCell ref="BR174:BS174"/>
  </mergeCells>
  <pageMargins left="0.7" right="0.7" top="0.75" bottom="0.75" header="0.3" footer="0.3"/>
  <pageSetup paperSize="9" orientation="portrait" r:id="rId1"/>
  <ignoredErrors>
    <ignoredError sqref="BV4 AU4"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5759F-84FF-4BED-82C0-BAD0DC290AE8}">
  <dimension ref="A1:BA202"/>
  <sheetViews>
    <sheetView topLeftCell="E1" zoomScale="70" zoomScaleNormal="70" workbookViewId="0">
      <selection activeCell="AY97" sqref="AY97"/>
    </sheetView>
  </sheetViews>
  <sheetFormatPr defaultRowHeight="15" x14ac:dyDescent="0.25"/>
  <cols>
    <col min="1" max="1" width="26.21875" style="1" bestFit="1" customWidth="1"/>
    <col min="2" max="2" width="93.44140625" style="1" bestFit="1" customWidth="1"/>
    <col min="3" max="3" width="55.109375" style="1" bestFit="1" customWidth="1"/>
    <col min="4" max="4" width="49.5546875" style="1" bestFit="1" customWidth="1"/>
    <col min="5" max="5" width="24.6640625" style="1" bestFit="1" customWidth="1"/>
    <col min="6" max="6" width="18.44140625" style="1" bestFit="1" customWidth="1"/>
    <col min="7" max="7" width="20" style="1" bestFit="1" customWidth="1"/>
    <col min="8" max="8" width="13.88671875" style="1" bestFit="1" customWidth="1"/>
    <col min="9" max="9" width="5.44140625" style="1" bestFit="1" customWidth="1"/>
    <col min="10" max="10" width="6.44140625" style="1" bestFit="1" customWidth="1"/>
    <col min="11" max="11" width="11" style="1" bestFit="1" customWidth="1"/>
    <col min="12" max="12" width="18.6640625" style="1" bestFit="1" customWidth="1"/>
    <col min="13" max="13" width="19.33203125" style="1" bestFit="1" customWidth="1"/>
    <col min="14" max="15" width="18.6640625" style="1" bestFit="1" customWidth="1"/>
    <col min="16" max="16" width="18.33203125" style="1" bestFit="1" customWidth="1"/>
    <col min="17" max="19" width="18.21875" style="1" bestFit="1" customWidth="1"/>
    <col min="20" max="20" width="18.33203125" style="1" bestFit="1" customWidth="1"/>
    <col min="21" max="22" width="13.77734375" style="1" bestFit="1" customWidth="1"/>
    <col min="23" max="23" width="10.33203125" style="1" customWidth="1"/>
    <col min="24" max="24" width="71.88671875" style="1" customWidth="1"/>
    <col min="25" max="25" width="17" style="1" bestFit="1" customWidth="1"/>
    <col min="26" max="26" width="19.5546875" style="1" customWidth="1"/>
    <col min="27" max="27" width="20.109375" style="1" customWidth="1"/>
    <col min="28" max="28" width="12.33203125" style="1" bestFit="1" customWidth="1"/>
    <col min="29" max="29" width="14.21875" style="1" bestFit="1" customWidth="1"/>
    <col min="30" max="30" width="15.6640625" style="1" bestFit="1" customWidth="1"/>
    <col min="31" max="32" width="12.33203125" style="1" bestFit="1" customWidth="1"/>
    <col min="33" max="33" width="17.44140625" style="1" customWidth="1"/>
    <col min="34" max="34" width="8.88671875" style="1"/>
    <col min="35" max="35" width="12.77734375" style="1" customWidth="1"/>
    <col min="36" max="36" width="17.77734375" style="1" customWidth="1"/>
    <col min="37" max="43" width="8.88671875" style="1"/>
    <col min="44" max="44" width="12" style="1" customWidth="1"/>
    <col min="45" max="45" width="49.109375" style="1" customWidth="1"/>
    <col min="46" max="46" width="10.77734375" style="1" customWidth="1"/>
    <col min="47" max="47" width="8.88671875" style="1"/>
    <col min="48" max="48" width="11.88671875" style="1" customWidth="1"/>
    <col min="49" max="49" width="16.44140625" style="1" bestFit="1" customWidth="1"/>
    <col min="50" max="16384" width="8.88671875" style="1"/>
  </cols>
  <sheetData>
    <row r="1" spans="1:49" ht="15.6" x14ac:dyDescent="0.3">
      <c r="A1" s="8"/>
      <c r="B1" s="8"/>
      <c r="C1" s="8"/>
      <c r="D1" s="8"/>
      <c r="E1" s="8"/>
      <c r="F1" s="8"/>
      <c r="G1" s="8"/>
      <c r="H1" s="8"/>
      <c r="I1" s="8"/>
      <c r="J1" s="8"/>
      <c r="K1" s="8"/>
      <c r="L1" s="153" t="s">
        <v>381</v>
      </c>
      <c r="M1" s="153"/>
      <c r="N1" s="153"/>
      <c r="O1" s="154" t="s">
        <v>382</v>
      </c>
      <c r="P1" s="154"/>
      <c r="Q1" s="154"/>
      <c r="R1" s="155" t="s">
        <v>383</v>
      </c>
      <c r="S1" s="155"/>
      <c r="T1" s="155"/>
      <c r="U1" s="156" t="s">
        <v>384</v>
      </c>
      <c r="V1" s="156"/>
      <c r="W1" s="156"/>
      <c r="X1" s="22" t="s">
        <v>380</v>
      </c>
      <c r="Y1" s="154" t="s">
        <v>377</v>
      </c>
      <c r="Z1" s="154"/>
      <c r="AA1" s="154"/>
      <c r="AB1" s="155" t="s">
        <v>378</v>
      </c>
      <c r="AC1" s="155"/>
      <c r="AD1" s="155"/>
      <c r="AE1" s="156" t="s">
        <v>379</v>
      </c>
      <c r="AF1" s="156"/>
      <c r="AG1" s="156"/>
      <c r="AS1"/>
      <c r="AT1"/>
      <c r="AU1"/>
      <c r="AV1"/>
      <c r="AW1"/>
    </row>
    <row r="2" spans="1:49" s="29" customFormat="1" ht="15.6" x14ac:dyDescent="0.3">
      <c r="A2" s="23" t="s">
        <v>138</v>
      </c>
      <c r="B2" s="23" t="s">
        <v>0</v>
      </c>
      <c r="C2" s="23" t="s">
        <v>1</v>
      </c>
      <c r="D2" s="23" t="s">
        <v>228</v>
      </c>
      <c r="E2" s="23" t="s">
        <v>229</v>
      </c>
      <c r="F2" s="23" t="s">
        <v>230</v>
      </c>
      <c r="G2" s="23" t="s">
        <v>231</v>
      </c>
      <c r="H2" s="24" t="s">
        <v>85</v>
      </c>
      <c r="I2" s="24" t="s">
        <v>86</v>
      </c>
      <c r="J2" s="24" t="s">
        <v>87</v>
      </c>
      <c r="K2" s="24" t="s">
        <v>232</v>
      </c>
      <c r="L2" s="41">
        <v>2017</v>
      </c>
      <c r="M2" s="41">
        <v>2018</v>
      </c>
      <c r="N2" s="41">
        <v>2019</v>
      </c>
      <c r="O2" s="42">
        <v>2017</v>
      </c>
      <c r="P2" s="42">
        <v>2018</v>
      </c>
      <c r="Q2" s="42">
        <v>2019</v>
      </c>
      <c r="R2" s="43">
        <v>2017</v>
      </c>
      <c r="S2" s="43">
        <v>2018</v>
      </c>
      <c r="T2" s="43">
        <v>2019</v>
      </c>
      <c r="U2" s="44">
        <v>2017</v>
      </c>
      <c r="V2" s="44">
        <v>2018</v>
      </c>
      <c r="W2" s="44">
        <v>2019</v>
      </c>
      <c r="X2" s="28" t="s">
        <v>149</v>
      </c>
      <c r="Y2" s="25">
        <v>2017</v>
      </c>
      <c r="Z2" s="25">
        <v>2018</v>
      </c>
      <c r="AA2" s="25">
        <v>2019</v>
      </c>
      <c r="AB2" s="26">
        <v>2017</v>
      </c>
      <c r="AC2" s="26">
        <v>2018</v>
      </c>
      <c r="AD2" s="26">
        <v>2019</v>
      </c>
      <c r="AE2" s="27">
        <v>2017</v>
      </c>
      <c r="AF2" s="27">
        <v>2018</v>
      </c>
      <c r="AG2" s="27">
        <v>2019</v>
      </c>
      <c r="AH2" s="158" t="s">
        <v>389</v>
      </c>
      <c r="AI2" s="159"/>
      <c r="AJ2" s="159"/>
      <c r="AN2" s="152" t="s">
        <v>444</v>
      </c>
      <c r="AO2" s="152"/>
      <c r="AS2"/>
      <c r="AT2"/>
      <c r="AU2"/>
      <c r="AV2"/>
      <c r="AW2"/>
    </row>
    <row r="3" spans="1:49" ht="30.6" x14ac:dyDescent="0.3">
      <c r="A3" s="2" t="s">
        <v>90</v>
      </c>
      <c r="B3" s="8" t="s">
        <v>394</v>
      </c>
      <c r="C3" s="2" t="s">
        <v>3</v>
      </c>
      <c r="D3" s="2" t="s">
        <v>233</v>
      </c>
      <c r="E3" s="2" t="s">
        <v>234</v>
      </c>
      <c r="F3" s="2" t="s">
        <v>235</v>
      </c>
      <c r="G3" s="2" t="s">
        <v>236</v>
      </c>
      <c r="H3" s="2">
        <v>2007001678</v>
      </c>
      <c r="I3" s="2" t="s">
        <v>88</v>
      </c>
      <c r="J3" s="11">
        <v>387</v>
      </c>
      <c r="K3" s="2" t="s">
        <v>237</v>
      </c>
      <c r="L3" s="34">
        <f>0.13*2512.997</f>
        <v>326.68961000000002</v>
      </c>
      <c r="M3" s="34">
        <f>0.14*1522.274</f>
        <v>213.11836</v>
      </c>
      <c r="N3" s="34">
        <f>0.14*1982.205</f>
        <v>277.50870000000003</v>
      </c>
      <c r="O3" s="17">
        <v>334.77929999999998</v>
      </c>
      <c r="P3" s="17">
        <v>229.53</v>
      </c>
      <c r="Q3" s="17">
        <v>303.66309999999999</v>
      </c>
      <c r="R3" s="18"/>
      <c r="S3" s="18"/>
      <c r="T3" s="18"/>
      <c r="U3" s="17">
        <v>334.9</v>
      </c>
      <c r="V3" s="17">
        <v>229.52500000000001</v>
      </c>
      <c r="W3" s="17"/>
      <c r="X3" s="157" t="s">
        <v>376</v>
      </c>
      <c r="Y3" s="30">
        <f>(O3/L3)-1</f>
        <v>2.4762617947965859E-2</v>
      </c>
      <c r="Z3" s="39">
        <f>(P3/M3)-1</f>
        <v>7.70071616542094E-2</v>
      </c>
      <c r="AA3" s="39">
        <f>(Q3/N3)-1</f>
        <v>9.4247135315036701E-2</v>
      </c>
      <c r="AB3" s="30"/>
      <c r="AC3" s="30"/>
      <c r="AD3" s="30"/>
      <c r="AE3" s="30">
        <f>(U3/L3)-1</f>
        <v>2.5132081794704053E-2</v>
      </c>
      <c r="AF3" s="39">
        <f>(V3/M3)-1</f>
        <v>7.6983700512710529E-2</v>
      </c>
      <c r="AG3" s="30"/>
      <c r="AS3" s="6" t="s">
        <v>448</v>
      </c>
      <c r="AT3" s="6" t="s">
        <v>449</v>
      </c>
      <c r="AV3" s="45" t="s">
        <v>451</v>
      </c>
      <c r="AW3"/>
    </row>
    <row r="4" spans="1:49" x14ac:dyDescent="0.25">
      <c r="A4" s="2" t="s">
        <v>90</v>
      </c>
      <c r="B4" s="8" t="s">
        <v>2</v>
      </c>
      <c r="C4" s="2" t="s">
        <v>3</v>
      </c>
      <c r="D4" s="2" t="s">
        <v>233</v>
      </c>
      <c r="E4" s="2" t="s">
        <v>234</v>
      </c>
      <c r="F4" s="2" t="s">
        <v>235</v>
      </c>
      <c r="G4" s="2" t="s">
        <v>236</v>
      </c>
      <c r="H4" s="2">
        <v>2007001678</v>
      </c>
      <c r="I4" s="2" t="s">
        <v>88</v>
      </c>
      <c r="J4" s="11">
        <v>387</v>
      </c>
      <c r="K4" s="2" t="s">
        <v>238</v>
      </c>
      <c r="L4" s="17">
        <v>0</v>
      </c>
      <c r="M4" s="17">
        <v>0</v>
      </c>
      <c r="N4" s="17">
        <v>0</v>
      </c>
      <c r="O4" s="17"/>
      <c r="P4" s="17"/>
      <c r="Q4" s="17"/>
      <c r="R4" s="18"/>
      <c r="S4" s="18"/>
      <c r="T4" s="18"/>
      <c r="U4" s="17"/>
      <c r="V4" s="17"/>
      <c r="W4" s="17"/>
      <c r="X4" s="157"/>
      <c r="Y4" s="30"/>
      <c r="Z4" s="30"/>
      <c r="AA4" s="30"/>
      <c r="AB4" s="30"/>
      <c r="AC4" s="30"/>
      <c r="AD4" s="30"/>
      <c r="AE4" s="30"/>
      <c r="AF4" s="30"/>
      <c r="AG4" s="30"/>
      <c r="AN4" s="152" t="s">
        <v>445</v>
      </c>
      <c r="AO4" s="152"/>
      <c r="AP4" s="152"/>
      <c r="AQ4" s="152"/>
      <c r="AR4" s="152"/>
      <c r="AS4" s="1">
        <f>COUNTIF(Y3:AA202,"&gt;5%")</f>
        <v>33</v>
      </c>
      <c r="AT4" s="1">
        <f>COUNTIF(Y3:AA202,"&lt;-5%")</f>
        <v>4</v>
      </c>
      <c r="AV4" s="1">
        <v>37</v>
      </c>
    </row>
    <row r="5" spans="1:49" x14ac:dyDescent="0.25">
      <c r="A5" s="2" t="s">
        <v>90</v>
      </c>
      <c r="B5" s="8" t="s">
        <v>2</v>
      </c>
      <c r="C5" s="2" t="s">
        <v>3</v>
      </c>
      <c r="D5" s="2" t="s">
        <v>233</v>
      </c>
      <c r="E5" s="2" t="s">
        <v>234</v>
      </c>
      <c r="F5" s="2" t="s">
        <v>235</v>
      </c>
      <c r="G5" s="2" t="s">
        <v>236</v>
      </c>
      <c r="H5" s="2">
        <v>2007001678</v>
      </c>
      <c r="I5" s="2" t="s">
        <v>88</v>
      </c>
      <c r="J5" s="11">
        <v>387</v>
      </c>
      <c r="K5" s="2" t="s">
        <v>239</v>
      </c>
      <c r="L5" s="34">
        <f>0.013*2512.997</f>
        <v>32.668960999999996</v>
      </c>
      <c r="M5" s="34">
        <f>0.019*2512.997</f>
        <v>47.746942999999995</v>
      </c>
      <c r="N5" s="34">
        <f>0.026*2512.997</f>
        <v>65.337921999999992</v>
      </c>
      <c r="O5" s="17">
        <v>646.49030000000005</v>
      </c>
      <c r="P5" s="17">
        <v>706.69</v>
      </c>
      <c r="Q5" s="17">
        <v>742.16369999999995</v>
      </c>
      <c r="R5" s="18"/>
      <c r="S5" s="18"/>
      <c r="T5" s="18"/>
      <c r="U5" s="17"/>
      <c r="V5" s="17"/>
      <c r="W5" s="17"/>
      <c r="X5" s="157"/>
      <c r="Y5" s="39">
        <f>(O5/L5)-1</f>
        <v>18.789129504302267</v>
      </c>
      <c r="Z5" s="39">
        <f>(P5/M5)-1</f>
        <v>13.800738133119856</v>
      </c>
      <c r="AA5" s="39">
        <f t="shared" ref="AA5" si="0">(Q5/N5)-1</f>
        <v>10.358850683987166</v>
      </c>
      <c r="AB5" s="30"/>
      <c r="AC5" s="30"/>
      <c r="AD5" s="30"/>
      <c r="AE5" s="30"/>
      <c r="AF5" s="30"/>
      <c r="AG5" s="30"/>
      <c r="AH5" s="1" t="s">
        <v>390</v>
      </c>
      <c r="AN5" s="152" t="s">
        <v>446</v>
      </c>
      <c r="AO5" s="152"/>
      <c r="AP5" s="152"/>
      <c r="AQ5" s="152"/>
      <c r="AR5" s="152"/>
      <c r="AS5" s="1">
        <f>COUNTIF(AB3:AD202,"&gt;5%")</f>
        <v>0</v>
      </c>
      <c r="AT5" s="1">
        <f>COUNTIF(AB3:AD202,"&lt;-5%")</f>
        <v>0</v>
      </c>
      <c r="AV5" s="1">
        <v>0</v>
      </c>
    </row>
    <row r="6" spans="1:49" x14ac:dyDescent="0.25">
      <c r="A6" s="2" t="s">
        <v>90</v>
      </c>
      <c r="B6" s="8" t="s">
        <v>2</v>
      </c>
      <c r="C6" s="2" t="s">
        <v>3</v>
      </c>
      <c r="D6" s="2" t="s">
        <v>233</v>
      </c>
      <c r="E6" s="2" t="s">
        <v>234</v>
      </c>
      <c r="F6" s="2" t="s">
        <v>235</v>
      </c>
      <c r="G6" s="2" t="s">
        <v>236</v>
      </c>
      <c r="H6" s="2">
        <v>2007001678</v>
      </c>
      <c r="I6" s="2" t="s">
        <v>88</v>
      </c>
      <c r="J6" s="11">
        <v>387</v>
      </c>
      <c r="K6" s="2" t="s">
        <v>240</v>
      </c>
      <c r="L6" s="32">
        <f>386.88*2512.997</f>
        <v>972228.27935999993</v>
      </c>
      <c r="M6" s="32">
        <f>419.89*1522.274</f>
        <v>639187.62985999999</v>
      </c>
      <c r="N6" s="32">
        <f>412.3*1982.205</f>
        <v>817263.12150000001</v>
      </c>
      <c r="O6" s="18">
        <v>972222.84180000005</v>
      </c>
      <c r="P6" s="18">
        <v>639190.8284</v>
      </c>
      <c r="Q6" s="18">
        <v>817263.53430000006</v>
      </c>
      <c r="R6" s="18">
        <v>972222.84183938545</v>
      </c>
      <c r="S6" s="18">
        <v>639190.82840103295</v>
      </c>
      <c r="T6" s="18">
        <v>817263.51936289005</v>
      </c>
      <c r="U6" s="17"/>
      <c r="V6" s="17"/>
      <c r="W6" s="17"/>
      <c r="X6" s="157"/>
      <c r="Y6" s="30">
        <f t="shared" ref="Y6:Y67" si="1">(O6/L6)-1</f>
        <v>-5.5928840122509982E-6</v>
      </c>
      <c r="Z6" s="30">
        <f t="shared" ref="Z6:Z66" si="2">(P6/M6)-1</f>
        <v>5.0040705585896461E-6</v>
      </c>
      <c r="AA6" s="30">
        <f>(Q6/N6)-1</f>
        <v>5.0510048632546045E-7</v>
      </c>
      <c r="AB6" s="30">
        <f>(R6/L6)-1</f>
        <v>-5.5928435017671418E-6</v>
      </c>
      <c r="AC6" s="30">
        <f>(S6/M6)-1</f>
        <v>5.0040721746302808E-6</v>
      </c>
      <c r="AD6" s="30">
        <f>(T6/N6)-1</f>
        <v>4.8682349618189846E-7</v>
      </c>
      <c r="AE6" s="30"/>
      <c r="AF6" s="30"/>
      <c r="AG6" s="30"/>
      <c r="AN6" s="152" t="s">
        <v>447</v>
      </c>
      <c r="AO6" s="152"/>
      <c r="AP6" s="152"/>
      <c r="AQ6" s="152"/>
      <c r="AR6" s="152"/>
      <c r="AS6" s="1">
        <f>COUNTIF(AE3:AG202,"&gt;5%")</f>
        <v>21</v>
      </c>
      <c r="AT6" s="1">
        <f>COUNTIF(AE3:AG202,"&lt;-5%")</f>
        <v>3</v>
      </c>
      <c r="AV6" s="1">
        <v>24</v>
      </c>
    </row>
    <row r="7" spans="1:49" x14ac:dyDescent="0.25">
      <c r="A7" s="2" t="s">
        <v>91</v>
      </c>
      <c r="B7" s="2" t="s">
        <v>395</v>
      </c>
      <c r="C7" s="2" t="s">
        <v>5</v>
      </c>
      <c r="D7" s="2" t="s">
        <v>241</v>
      </c>
      <c r="E7" s="2" t="s">
        <v>242</v>
      </c>
      <c r="F7" s="2" t="s">
        <v>243</v>
      </c>
      <c r="G7" s="2" t="s">
        <v>244</v>
      </c>
      <c r="H7" s="2">
        <v>2007001074</v>
      </c>
      <c r="I7" s="2" t="s">
        <v>89</v>
      </c>
      <c r="J7" s="11">
        <v>986</v>
      </c>
      <c r="K7" s="2" t="s">
        <v>237</v>
      </c>
      <c r="L7" s="17">
        <v>174</v>
      </c>
      <c r="M7" s="17">
        <v>150</v>
      </c>
      <c r="N7" s="17">
        <v>169</v>
      </c>
      <c r="O7" s="17">
        <v>174.47900000000001</v>
      </c>
      <c r="P7" s="17">
        <v>184.15</v>
      </c>
      <c r="Q7" s="17">
        <v>191.46</v>
      </c>
      <c r="R7" s="18"/>
      <c r="S7" s="18"/>
      <c r="T7" s="18"/>
      <c r="U7" s="17">
        <v>172.7</v>
      </c>
      <c r="V7" s="17">
        <v>147.19999999999999</v>
      </c>
      <c r="W7" s="17"/>
      <c r="Y7" s="30">
        <f t="shared" si="1"/>
        <v>2.7528735632185164E-3</v>
      </c>
      <c r="Z7" s="39">
        <f t="shared" si="2"/>
        <v>0.22766666666666668</v>
      </c>
      <c r="AA7" s="39">
        <f t="shared" ref="AA7:AA70" si="3">(Q7/N7)-1</f>
        <v>0.1328994082840238</v>
      </c>
      <c r="AB7" s="30"/>
      <c r="AC7" s="30"/>
      <c r="AD7" s="30"/>
      <c r="AE7" s="30">
        <f>(U7/L7)-1</f>
        <v>-7.4712643678161994E-3</v>
      </c>
      <c r="AF7" s="30">
        <f>(V7/M7)-1</f>
        <v>-1.866666666666672E-2</v>
      </c>
      <c r="AG7" s="30"/>
    </row>
    <row r="8" spans="1:49" x14ac:dyDescent="0.25">
      <c r="A8" s="2" t="s">
        <v>91</v>
      </c>
      <c r="B8" s="2" t="s">
        <v>4</v>
      </c>
      <c r="C8" s="2" t="s">
        <v>5</v>
      </c>
      <c r="D8" s="2" t="s">
        <v>241</v>
      </c>
      <c r="E8" s="2" t="s">
        <v>242</v>
      </c>
      <c r="F8" s="2" t="s">
        <v>243</v>
      </c>
      <c r="G8" s="2" t="s">
        <v>244</v>
      </c>
      <c r="H8" s="2">
        <v>2007001074</v>
      </c>
      <c r="I8" s="2" t="s">
        <v>89</v>
      </c>
      <c r="J8" s="11">
        <v>986</v>
      </c>
      <c r="K8" s="2" t="s">
        <v>238</v>
      </c>
      <c r="L8" s="17">
        <v>0</v>
      </c>
      <c r="M8" s="17">
        <v>0</v>
      </c>
      <c r="N8" s="17">
        <v>0</v>
      </c>
      <c r="O8" s="17"/>
      <c r="P8" s="17"/>
      <c r="Q8" s="17"/>
      <c r="R8" s="18"/>
      <c r="S8" s="18"/>
      <c r="T8" s="18"/>
      <c r="U8" s="17"/>
      <c r="V8" s="17"/>
      <c r="W8" s="17"/>
      <c r="Y8" s="30"/>
      <c r="Z8" s="30"/>
      <c r="AA8" s="30"/>
      <c r="AB8" s="30"/>
      <c r="AC8" s="30"/>
      <c r="AD8" s="30"/>
      <c r="AE8" s="30"/>
      <c r="AF8" s="30"/>
      <c r="AG8" s="30"/>
      <c r="AN8" s="152" t="s">
        <v>452</v>
      </c>
      <c r="AO8" s="152"/>
      <c r="AP8" s="152"/>
      <c r="AQ8" s="152"/>
      <c r="AR8" s="152"/>
    </row>
    <row r="9" spans="1:49" x14ac:dyDescent="0.25">
      <c r="A9" s="2" t="s">
        <v>91</v>
      </c>
      <c r="B9" s="2" t="s">
        <v>4</v>
      </c>
      <c r="C9" s="2" t="s">
        <v>5</v>
      </c>
      <c r="D9" s="2" t="s">
        <v>241</v>
      </c>
      <c r="E9" s="2" t="s">
        <v>242</v>
      </c>
      <c r="F9" s="2" t="s">
        <v>243</v>
      </c>
      <c r="G9" s="2" t="s">
        <v>244</v>
      </c>
      <c r="H9" s="2">
        <v>2007001074</v>
      </c>
      <c r="I9" s="2" t="s">
        <v>89</v>
      </c>
      <c r="J9" s="11">
        <v>986</v>
      </c>
      <c r="K9" s="2" t="s">
        <v>239</v>
      </c>
      <c r="L9" s="17">
        <v>8</v>
      </c>
      <c r="M9" s="17">
        <v>5</v>
      </c>
      <c r="N9" s="17">
        <v>25.8</v>
      </c>
      <c r="O9" s="17">
        <v>806.01900000000001</v>
      </c>
      <c r="P9" s="17">
        <v>838.59</v>
      </c>
      <c r="Q9" s="17">
        <v>531.71</v>
      </c>
      <c r="R9" s="18"/>
      <c r="S9" s="18"/>
      <c r="T9" s="18"/>
      <c r="U9" s="17"/>
      <c r="V9" s="17"/>
      <c r="W9" s="17"/>
      <c r="Y9" s="39">
        <f t="shared" si="1"/>
        <v>99.752375000000001</v>
      </c>
      <c r="Z9" s="39">
        <f t="shared" si="2"/>
        <v>166.71800000000002</v>
      </c>
      <c r="AA9" s="39">
        <f t="shared" si="3"/>
        <v>19.608914728682173</v>
      </c>
      <c r="AB9" s="30"/>
      <c r="AC9" s="30"/>
      <c r="AD9" s="30"/>
      <c r="AE9" s="30"/>
      <c r="AF9" s="30"/>
      <c r="AG9" s="30"/>
      <c r="AH9" s="1" t="s">
        <v>390</v>
      </c>
      <c r="AN9" s="1" t="s">
        <v>237</v>
      </c>
      <c r="AO9" s="1">
        <v>16</v>
      </c>
    </row>
    <row r="10" spans="1:49" x14ac:dyDescent="0.25">
      <c r="A10" s="2" t="s">
        <v>91</v>
      </c>
      <c r="B10" s="2" t="s">
        <v>4</v>
      </c>
      <c r="C10" s="2" t="s">
        <v>5</v>
      </c>
      <c r="D10" s="2" t="s">
        <v>241</v>
      </c>
      <c r="E10" s="2" t="s">
        <v>242</v>
      </c>
      <c r="F10" s="2" t="s">
        <v>243</v>
      </c>
      <c r="G10" s="2" t="s">
        <v>244</v>
      </c>
      <c r="H10" s="2">
        <v>2007001074</v>
      </c>
      <c r="I10" s="2" t="s">
        <v>89</v>
      </c>
      <c r="J10" s="11">
        <v>986</v>
      </c>
      <c r="K10" s="2" t="s">
        <v>240</v>
      </c>
      <c r="L10" s="33">
        <v>629547</v>
      </c>
      <c r="M10" s="33">
        <v>542720</v>
      </c>
      <c r="N10" s="33">
        <v>528601</v>
      </c>
      <c r="O10" s="18">
        <v>629226</v>
      </c>
      <c r="P10" s="18">
        <v>542720</v>
      </c>
      <c r="Q10" s="18">
        <v>528603</v>
      </c>
      <c r="R10" s="18">
        <v>629226.32800056995</v>
      </c>
      <c r="S10" s="18">
        <v>542720.49258559872</v>
      </c>
      <c r="T10" s="18">
        <v>528602.63375831244</v>
      </c>
      <c r="U10" s="17"/>
      <c r="V10" s="17"/>
      <c r="W10" s="17"/>
      <c r="Y10" s="30">
        <f t="shared" si="1"/>
        <v>-5.0989044503424452E-4</v>
      </c>
      <c r="Z10" s="30">
        <f t="shared" si="2"/>
        <v>0</v>
      </c>
      <c r="AA10" s="30">
        <f t="shared" si="3"/>
        <v>3.7835721082846163E-6</v>
      </c>
      <c r="AB10" s="30">
        <f t="shared" ref="AB10:AB70" si="4">(R10/L10)-1</f>
        <v>-5.0936943457768891E-4</v>
      </c>
      <c r="AC10" s="30">
        <f t="shared" ref="AC10:AC70" si="5">(S10/M10)-1</f>
        <v>9.0762381832476535E-7</v>
      </c>
      <c r="AD10" s="30">
        <f>(T10/N10)-1</f>
        <v>3.09072119120124E-6</v>
      </c>
      <c r="AE10" s="30"/>
      <c r="AF10" s="30"/>
      <c r="AG10" s="30"/>
      <c r="AN10" s="1" t="s">
        <v>239</v>
      </c>
      <c r="AO10" s="1">
        <v>6</v>
      </c>
    </row>
    <row r="11" spans="1:49" ht="18.600000000000001" x14ac:dyDescent="0.4">
      <c r="A11" s="2" t="s">
        <v>92</v>
      </c>
      <c r="B11" s="2" t="s">
        <v>396</v>
      </c>
      <c r="C11" s="2" t="s">
        <v>7</v>
      </c>
      <c r="D11" s="2" t="s">
        <v>245</v>
      </c>
      <c r="E11" s="2" t="s">
        <v>246</v>
      </c>
      <c r="F11" s="2" t="s">
        <v>247</v>
      </c>
      <c r="G11" s="2" t="s">
        <v>248</v>
      </c>
      <c r="H11" s="2">
        <v>2007001685</v>
      </c>
      <c r="I11" s="2" t="s">
        <v>89</v>
      </c>
      <c r="J11" s="11">
        <v>667</v>
      </c>
      <c r="K11" s="2" t="s">
        <v>237</v>
      </c>
      <c r="L11" s="18">
        <v>2519</v>
      </c>
      <c r="M11" s="18">
        <v>2088</v>
      </c>
      <c r="N11" s="18">
        <v>1141</v>
      </c>
      <c r="O11" s="18">
        <v>2519.5</v>
      </c>
      <c r="P11" s="18">
        <v>2088</v>
      </c>
      <c r="Q11" s="18">
        <v>1141.5</v>
      </c>
      <c r="R11" s="18"/>
      <c r="S11" s="18"/>
      <c r="T11" s="18"/>
      <c r="U11" s="18">
        <v>2519.5</v>
      </c>
      <c r="V11" s="18">
        <v>2088</v>
      </c>
      <c r="W11" s="17"/>
      <c r="Y11" s="30">
        <f t="shared" si="1"/>
        <v>1.9849146486694558E-4</v>
      </c>
      <c r="Z11" s="30">
        <f t="shared" si="2"/>
        <v>0</v>
      </c>
      <c r="AA11" s="30">
        <f t="shared" si="3"/>
        <v>4.3821209465377819E-4</v>
      </c>
      <c r="AB11" s="30"/>
      <c r="AC11" s="30"/>
      <c r="AD11" s="30"/>
      <c r="AE11" s="30">
        <f t="shared" ref="AE11:AE67" si="6">(U11/L11)-1</f>
        <v>1.9849146486694558E-4</v>
      </c>
      <c r="AF11" s="30">
        <f t="shared" ref="AF11:AF67" si="7">(V11/M11)-1</f>
        <v>0</v>
      </c>
      <c r="AG11" s="30"/>
      <c r="AN11" s="1" t="s">
        <v>450</v>
      </c>
      <c r="AO11" s="1">
        <v>1</v>
      </c>
    </row>
    <row r="12" spans="1:49" x14ac:dyDescent="0.25">
      <c r="A12" s="2" t="s">
        <v>92</v>
      </c>
      <c r="B12" s="2" t="s">
        <v>6</v>
      </c>
      <c r="C12" s="2" t="s">
        <v>7</v>
      </c>
      <c r="D12" s="2" t="s">
        <v>245</v>
      </c>
      <c r="E12" s="2" t="s">
        <v>246</v>
      </c>
      <c r="F12" s="2" t="s">
        <v>247</v>
      </c>
      <c r="G12" s="2" t="s">
        <v>248</v>
      </c>
      <c r="H12" s="2">
        <v>2007001685</v>
      </c>
      <c r="I12" s="2" t="s">
        <v>89</v>
      </c>
      <c r="J12" s="11">
        <v>667</v>
      </c>
      <c r="K12" s="2" t="s">
        <v>238</v>
      </c>
      <c r="L12" s="17">
        <v>1889</v>
      </c>
      <c r="M12" s="17">
        <v>1784</v>
      </c>
      <c r="N12" s="17">
        <v>893</v>
      </c>
      <c r="O12" s="18">
        <v>1889.1</v>
      </c>
      <c r="P12" s="18">
        <v>1780.4</v>
      </c>
      <c r="Q12" s="18">
        <v>892.8</v>
      </c>
      <c r="R12" s="18"/>
      <c r="S12" s="18"/>
      <c r="T12" s="18"/>
      <c r="U12" s="18">
        <v>1889.1</v>
      </c>
      <c r="V12" s="18">
        <v>1780.4</v>
      </c>
      <c r="W12" s="17"/>
      <c r="Y12" s="30">
        <f t="shared" si="1"/>
        <v>5.2938062466756364E-5</v>
      </c>
      <c r="Z12" s="30">
        <f t="shared" si="2"/>
        <v>-2.0179372197308698E-3</v>
      </c>
      <c r="AA12" s="30">
        <f t="shared" si="3"/>
        <v>-2.2396416573355893E-4</v>
      </c>
      <c r="AB12" s="30"/>
      <c r="AC12" s="30"/>
      <c r="AD12" s="30"/>
      <c r="AE12" s="30">
        <f t="shared" si="6"/>
        <v>5.2938062466756364E-5</v>
      </c>
      <c r="AF12" s="30">
        <f t="shared" si="7"/>
        <v>-2.0179372197308698E-3</v>
      </c>
      <c r="AG12" s="30"/>
      <c r="AN12" s="1" t="s">
        <v>238</v>
      </c>
      <c r="AO12" s="1">
        <v>2</v>
      </c>
    </row>
    <row r="13" spans="1:49" x14ac:dyDescent="0.25">
      <c r="A13" s="2" t="s">
        <v>92</v>
      </c>
      <c r="B13" s="4" t="s">
        <v>6</v>
      </c>
      <c r="C13" s="2" t="s">
        <v>7</v>
      </c>
      <c r="D13" s="2" t="s">
        <v>245</v>
      </c>
      <c r="E13" s="2" t="s">
        <v>246</v>
      </c>
      <c r="F13" s="2" t="s">
        <v>247</v>
      </c>
      <c r="G13" s="2" t="s">
        <v>248</v>
      </c>
      <c r="H13" s="2">
        <v>2007001685</v>
      </c>
      <c r="I13" s="2" t="s">
        <v>89</v>
      </c>
      <c r="J13" s="11">
        <v>667</v>
      </c>
      <c r="K13" s="2" t="s">
        <v>239</v>
      </c>
      <c r="L13" s="17">
        <v>1952</v>
      </c>
      <c r="M13" s="17">
        <v>1292</v>
      </c>
      <c r="N13" s="17">
        <v>674</v>
      </c>
      <c r="O13" s="18">
        <v>1951.9</v>
      </c>
      <c r="P13" s="18">
        <v>1292</v>
      </c>
      <c r="Q13" s="18">
        <v>674</v>
      </c>
      <c r="R13" s="18"/>
      <c r="S13" s="18"/>
      <c r="T13" s="18"/>
      <c r="U13" s="17"/>
      <c r="V13" s="17"/>
      <c r="W13" s="17"/>
      <c r="Y13" s="30">
        <f t="shared" si="1"/>
        <v>-5.1229508196692919E-5</v>
      </c>
      <c r="Z13" s="30">
        <f t="shared" si="2"/>
        <v>0</v>
      </c>
      <c r="AA13" s="30">
        <f t="shared" si="3"/>
        <v>0</v>
      </c>
      <c r="AB13" s="30"/>
      <c r="AC13" s="30"/>
      <c r="AD13" s="30"/>
      <c r="AE13" s="30"/>
      <c r="AF13" s="30"/>
      <c r="AG13" s="30"/>
    </row>
    <row r="14" spans="1:49" x14ac:dyDescent="0.25">
      <c r="A14" s="2" t="s">
        <v>92</v>
      </c>
      <c r="B14" s="4" t="s">
        <v>6</v>
      </c>
      <c r="C14" s="2" t="s">
        <v>7</v>
      </c>
      <c r="D14" s="2" t="s">
        <v>245</v>
      </c>
      <c r="E14" s="2" t="s">
        <v>246</v>
      </c>
      <c r="F14" s="2" t="s">
        <v>247</v>
      </c>
      <c r="G14" s="2" t="s">
        <v>248</v>
      </c>
      <c r="H14" s="2">
        <v>2007001685</v>
      </c>
      <c r="I14" s="2" t="s">
        <v>89</v>
      </c>
      <c r="J14" s="11">
        <v>667</v>
      </c>
      <c r="K14" s="2" t="s">
        <v>240</v>
      </c>
      <c r="L14" s="33">
        <v>9747838</v>
      </c>
      <c r="M14" s="33">
        <v>8081026</v>
      </c>
      <c r="N14" s="33">
        <v>4505200</v>
      </c>
      <c r="O14" s="18">
        <v>9747838</v>
      </c>
      <c r="P14" s="18">
        <v>8081026</v>
      </c>
      <c r="Q14" s="18">
        <v>4505225</v>
      </c>
      <c r="R14" s="18">
        <v>9747837.5515435338</v>
      </c>
      <c r="S14" s="18">
        <v>8081026.3401062107</v>
      </c>
      <c r="T14" s="18">
        <v>4505224.5066141812</v>
      </c>
      <c r="U14" s="17"/>
      <c r="V14" s="17"/>
      <c r="W14" s="17"/>
      <c r="Y14" s="30">
        <f t="shared" si="1"/>
        <v>0</v>
      </c>
      <c r="Z14" s="30">
        <f t="shared" si="2"/>
        <v>0</v>
      </c>
      <c r="AA14" s="30">
        <f t="shared" si="3"/>
        <v>5.5491432122689588E-6</v>
      </c>
      <c r="AB14" s="30">
        <f>(R14/L14)-1</f>
        <v>-4.6005736442644718E-8</v>
      </c>
      <c r="AC14" s="30">
        <f t="shared" si="5"/>
        <v>4.2087008544910987E-8</v>
      </c>
      <c r="AD14" s="30">
        <f t="shared" ref="AD14:AD70" si="8">(T14/N14)-1</f>
        <v>5.439628469661173E-6</v>
      </c>
      <c r="AE14" s="30"/>
      <c r="AF14" s="30"/>
      <c r="AG14" s="30"/>
    </row>
    <row r="15" spans="1:49" x14ac:dyDescent="0.25">
      <c r="A15" s="2" t="s">
        <v>93</v>
      </c>
      <c r="B15" s="4" t="s">
        <v>397</v>
      </c>
      <c r="C15" s="2" t="s">
        <v>9</v>
      </c>
      <c r="D15" s="2" t="s">
        <v>249</v>
      </c>
      <c r="E15" s="2" t="s">
        <v>250</v>
      </c>
      <c r="F15" s="2" t="s">
        <v>251</v>
      </c>
      <c r="G15" s="2" t="s">
        <v>244</v>
      </c>
      <c r="H15" s="2">
        <v>2007000923</v>
      </c>
      <c r="I15" s="2" t="s">
        <v>89</v>
      </c>
      <c r="J15" s="11">
        <v>859</v>
      </c>
      <c r="K15" s="2" t="s">
        <v>237</v>
      </c>
      <c r="L15" s="17">
        <v>441</v>
      </c>
      <c r="M15" s="17">
        <v>452.2</v>
      </c>
      <c r="N15" s="17">
        <v>579.4</v>
      </c>
      <c r="O15" s="17">
        <v>441.2</v>
      </c>
      <c r="P15" s="17">
        <v>452.2</v>
      </c>
      <c r="Q15" s="17">
        <v>452.2</v>
      </c>
      <c r="R15" s="18"/>
      <c r="S15" s="18"/>
      <c r="T15" s="18"/>
      <c r="U15" s="17">
        <v>441.2</v>
      </c>
      <c r="V15" s="17">
        <v>452.2</v>
      </c>
      <c r="W15" s="17"/>
      <c r="Y15" s="30">
        <f t="shared" si="1"/>
        <v>4.5351473922905505E-4</v>
      </c>
      <c r="Z15" s="30">
        <f t="shared" si="2"/>
        <v>0</v>
      </c>
      <c r="AA15" s="30">
        <f>(Q15/M15)-1</f>
        <v>0</v>
      </c>
      <c r="AB15" s="30"/>
      <c r="AC15" s="30"/>
      <c r="AD15" s="30"/>
      <c r="AE15" s="30">
        <f>(U15/L15)-1</f>
        <v>4.5351473922905505E-4</v>
      </c>
      <c r="AF15" s="30">
        <f t="shared" si="7"/>
        <v>0</v>
      </c>
      <c r="AG15" s="30"/>
    </row>
    <row r="16" spans="1:49" x14ac:dyDescent="0.25">
      <c r="A16" s="2" t="s">
        <v>93</v>
      </c>
      <c r="B16" s="4" t="s">
        <v>8</v>
      </c>
      <c r="C16" s="2" t="s">
        <v>9</v>
      </c>
      <c r="D16" s="2" t="s">
        <v>249</v>
      </c>
      <c r="E16" s="2" t="s">
        <v>250</v>
      </c>
      <c r="F16" s="2" t="s">
        <v>251</v>
      </c>
      <c r="G16" s="2" t="s">
        <v>244</v>
      </c>
      <c r="H16" s="2">
        <v>2007000923</v>
      </c>
      <c r="I16" s="2" t="s">
        <v>89</v>
      </c>
      <c r="J16" s="11">
        <v>859</v>
      </c>
      <c r="K16" s="2" t="s">
        <v>238</v>
      </c>
      <c r="L16" s="31">
        <v>0</v>
      </c>
      <c r="M16" s="31">
        <v>0</v>
      </c>
      <c r="N16" s="31">
        <v>0</v>
      </c>
      <c r="O16" s="17"/>
      <c r="P16" s="17"/>
      <c r="Q16" s="17"/>
      <c r="R16" s="18"/>
      <c r="S16" s="18"/>
      <c r="T16" s="18"/>
      <c r="U16" s="17"/>
      <c r="V16" s="17"/>
      <c r="W16" s="17"/>
      <c r="Y16" s="30"/>
      <c r="Z16" s="30"/>
      <c r="AA16" s="30"/>
      <c r="AB16" s="30"/>
      <c r="AC16" s="30"/>
      <c r="AD16" s="30"/>
      <c r="AE16" s="30"/>
      <c r="AF16" s="30"/>
      <c r="AG16" s="30"/>
    </row>
    <row r="17" spans="1:45" x14ac:dyDescent="0.25">
      <c r="A17" s="2" t="s">
        <v>93</v>
      </c>
      <c r="B17" s="4" t="s">
        <v>8</v>
      </c>
      <c r="C17" s="2" t="s">
        <v>9</v>
      </c>
      <c r="D17" s="2" t="s">
        <v>249</v>
      </c>
      <c r="E17" s="2" t="s">
        <v>250</v>
      </c>
      <c r="F17" s="2" t="s">
        <v>251</v>
      </c>
      <c r="G17" s="2" t="s">
        <v>244</v>
      </c>
      <c r="H17" s="2">
        <v>2007000923</v>
      </c>
      <c r="I17" s="2" t="s">
        <v>89</v>
      </c>
      <c r="J17" s="11">
        <v>859</v>
      </c>
      <c r="K17" s="2" t="s">
        <v>239</v>
      </c>
      <c r="L17" s="31">
        <v>522</v>
      </c>
      <c r="M17" s="31">
        <v>469.3</v>
      </c>
      <c r="N17" s="31">
        <v>404.9</v>
      </c>
      <c r="O17" s="17">
        <v>521.5</v>
      </c>
      <c r="P17" s="17"/>
      <c r="Q17" s="17"/>
      <c r="R17" s="18"/>
      <c r="S17" s="18"/>
      <c r="T17" s="18"/>
      <c r="U17" s="17"/>
      <c r="V17" s="17"/>
      <c r="W17" s="17"/>
      <c r="Y17" s="30">
        <f t="shared" si="1"/>
        <v>-9.5785440613027628E-4</v>
      </c>
      <c r="Z17" s="30"/>
      <c r="AA17" s="30"/>
      <c r="AB17" s="30"/>
      <c r="AC17" s="30"/>
      <c r="AD17" s="30"/>
      <c r="AE17" s="30"/>
      <c r="AF17" s="30"/>
      <c r="AG17" s="30"/>
    </row>
    <row r="18" spans="1:45" x14ac:dyDescent="0.25">
      <c r="A18" s="2" t="s">
        <v>93</v>
      </c>
      <c r="B18" s="4" t="s">
        <v>8</v>
      </c>
      <c r="C18" s="2" t="s">
        <v>9</v>
      </c>
      <c r="D18" s="2" t="s">
        <v>249</v>
      </c>
      <c r="E18" s="2" t="s">
        <v>250</v>
      </c>
      <c r="F18" s="2" t="s">
        <v>251</v>
      </c>
      <c r="G18" s="2" t="s">
        <v>244</v>
      </c>
      <c r="H18" s="2">
        <v>2007000923</v>
      </c>
      <c r="I18" s="2" t="s">
        <v>89</v>
      </c>
      <c r="J18" s="11">
        <v>859</v>
      </c>
      <c r="K18" s="2" t="s">
        <v>240</v>
      </c>
      <c r="L18" s="31">
        <v>1214383</v>
      </c>
      <c r="M18" s="31">
        <v>1230505</v>
      </c>
      <c r="N18" s="31">
        <v>1539087</v>
      </c>
      <c r="O18" s="18">
        <v>1214383</v>
      </c>
      <c r="P18" s="18">
        <v>1230505</v>
      </c>
      <c r="Q18" s="18">
        <v>1539099</v>
      </c>
      <c r="R18" s="18">
        <v>1214383.4688456976</v>
      </c>
      <c r="S18" s="18">
        <v>1230504.5568690677</v>
      </c>
      <c r="T18" s="18">
        <v>1539098.63548561</v>
      </c>
      <c r="U18" s="17"/>
      <c r="V18" s="17"/>
      <c r="W18" s="17"/>
      <c r="Y18" s="30">
        <f t="shared" si="1"/>
        <v>0</v>
      </c>
      <c r="Z18" s="30">
        <f t="shared" si="2"/>
        <v>0</v>
      </c>
      <c r="AA18" s="30">
        <f t="shared" si="3"/>
        <v>7.7968301985809063E-6</v>
      </c>
      <c r="AB18" s="30">
        <f t="shared" si="4"/>
        <v>3.8607728991557622E-7</v>
      </c>
      <c r="AC18" s="30">
        <f t="shared" si="5"/>
        <v>-3.6012119597472747E-7</v>
      </c>
      <c r="AD18" s="30">
        <f t="shared" si="8"/>
        <v>7.5599921316449326E-6</v>
      </c>
      <c r="AE18" s="30"/>
      <c r="AF18" s="30"/>
      <c r="AG18" s="30"/>
    </row>
    <row r="19" spans="1:45" x14ac:dyDescent="0.25">
      <c r="A19" s="2" t="s">
        <v>94</v>
      </c>
      <c r="B19" s="4" t="s">
        <v>398</v>
      </c>
      <c r="C19" s="2" t="s">
        <v>11</v>
      </c>
      <c r="D19" s="2" t="s">
        <v>252</v>
      </c>
      <c r="E19" s="2" t="s">
        <v>253</v>
      </c>
      <c r="F19" s="2" t="s">
        <v>253</v>
      </c>
      <c r="G19" s="2" t="s">
        <v>244</v>
      </c>
      <c r="H19" s="2">
        <v>2008000039</v>
      </c>
      <c r="I19" s="2" t="s">
        <v>89</v>
      </c>
      <c r="J19" s="11">
        <v>189</v>
      </c>
      <c r="K19" s="2" t="s">
        <v>237</v>
      </c>
      <c r="L19" s="35">
        <f>0.24*574.8</f>
        <v>137.952</v>
      </c>
      <c r="M19" s="35">
        <f>0.18*555</f>
        <v>99.899999999999991</v>
      </c>
      <c r="N19" s="35">
        <f>0.11*517.8</f>
        <v>56.957999999999998</v>
      </c>
      <c r="O19" s="17">
        <v>130.96700000000001</v>
      </c>
      <c r="P19" s="17">
        <v>102.128</v>
      </c>
      <c r="Q19" s="17"/>
      <c r="R19" s="18"/>
      <c r="S19" s="18"/>
      <c r="T19" s="18"/>
      <c r="U19" s="17">
        <v>130.69999999999999</v>
      </c>
      <c r="V19" s="17">
        <v>102.12</v>
      </c>
      <c r="W19" s="17"/>
      <c r="X19" s="157" t="s">
        <v>376</v>
      </c>
      <c r="Y19" s="39">
        <f t="shared" si="1"/>
        <v>-5.0633553699837464E-2</v>
      </c>
      <c r="Z19" s="30">
        <f t="shared" si="2"/>
        <v>2.2302302302302346E-2</v>
      </c>
      <c r="AA19" s="30"/>
      <c r="AB19" s="30"/>
      <c r="AC19" s="30"/>
      <c r="AD19" s="30"/>
      <c r="AE19" s="39">
        <f t="shared" si="6"/>
        <v>-5.2569009510554432E-2</v>
      </c>
      <c r="AF19" s="30">
        <f t="shared" si="7"/>
        <v>2.2222222222222365E-2</v>
      </c>
      <c r="AG19" s="30"/>
      <c r="AH19" s="1" t="s">
        <v>391</v>
      </c>
    </row>
    <row r="20" spans="1:45" x14ac:dyDescent="0.25">
      <c r="A20" s="2" t="s">
        <v>94</v>
      </c>
      <c r="B20" s="4" t="s">
        <v>10</v>
      </c>
      <c r="C20" s="2" t="s">
        <v>11</v>
      </c>
      <c r="D20" s="2" t="s">
        <v>252</v>
      </c>
      <c r="E20" s="2" t="s">
        <v>253</v>
      </c>
      <c r="F20" s="2" t="s">
        <v>253</v>
      </c>
      <c r="G20" s="2" t="s">
        <v>244</v>
      </c>
      <c r="H20" s="2">
        <v>2008000039</v>
      </c>
      <c r="I20" s="2" t="s">
        <v>89</v>
      </c>
      <c r="J20" s="11">
        <v>189</v>
      </c>
      <c r="K20" s="2" t="s">
        <v>238</v>
      </c>
      <c r="L20" s="36">
        <f>0.21*574.8</f>
        <v>120.70799999999998</v>
      </c>
      <c r="M20" s="36">
        <f>0.23*555</f>
        <v>127.65</v>
      </c>
      <c r="N20" s="36">
        <f>0.23*517.8</f>
        <v>119.09399999999999</v>
      </c>
      <c r="O20" s="17"/>
      <c r="P20" s="17"/>
      <c r="Q20" s="17"/>
      <c r="R20" s="18"/>
      <c r="S20" s="18"/>
      <c r="T20" s="18"/>
      <c r="U20" s="17">
        <v>122.03</v>
      </c>
      <c r="V20" s="17">
        <v>128.75</v>
      </c>
      <c r="W20" s="17"/>
      <c r="X20" s="157"/>
      <c r="Y20" s="30"/>
      <c r="Z20" s="30"/>
      <c r="AA20" s="30"/>
      <c r="AB20" s="30"/>
      <c r="AC20" s="30"/>
      <c r="AD20" s="30"/>
      <c r="AE20" s="30">
        <f t="shared" si="6"/>
        <v>1.0952049574179057E-2</v>
      </c>
      <c r="AF20" s="30">
        <f t="shared" si="7"/>
        <v>8.6173129651390123E-3</v>
      </c>
      <c r="AG20" s="30"/>
    </row>
    <row r="21" spans="1:45" x14ac:dyDescent="0.25">
      <c r="A21" s="2" t="s">
        <v>94</v>
      </c>
      <c r="B21" s="4" t="s">
        <v>10</v>
      </c>
      <c r="C21" s="2" t="s">
        <v>11</v>
      </c>
      <c r="D21" s="2" t="s">
        <v>252</v>
      </c>
      <c r="E21" s="2" t="s">
        <v>253</v>
      </c>
      <c r="F21" s="2" t="s">
        <v>253</v>
      </c>
      <c r="G21" s="2" t="s">
        <v>244</v>
      </c>
      <c r="H21" s="2">
        <v>2008000039</v>
      </c>
      <c r="I21" s="2" t="s">
        <v>89</v>
      </c>
      <c r="J21" s="11">
        <v>189</v>
      </c>
      <c r="K21" s="2" t="s">
        <v>239</v>
      </c>
      <c r="L21" s="36" t="s">
        <v>151</v>
      </c>
      <c r="M21" s="36" t="s">
        <v>151</v>
      </c>
      <c r="N21" s="36" t="s">
        <v>151</v>
      </c>
      <c r="O21" s="17"/>
      <c r="P21" s="17"/>
      <c r="Q21" s="17"/>
      <c r="R21" s="18"/>
      <c r="S21" s="18"/>
      <c r="T21" s="18"/>
      <c r="U21" s="17"/>
      <c r="V21" s="17"/>
      <c r="W21" s="17"/>
      <c r="X21" s="157"/>
      <c r="Y21" s="30"/>
      <c r="Z21" s="30"/>
      <c r="AA21" s="30"/>
      <c r="AB21" s="30"/>
      <c r="AC21" s="30"/>
      <c r="AD21" s="30"/>
      <c r="AE21" s="30"/>
      <c r="AF21" s="30"/>
      <c r="AG21" s="30"/>
    </row>
    <row r="22" spans="1:45" x14ac:dyDescent="0.25">
      <c r="A22" s="2" t="s">
        <v>94</v>
      </c>
      <c r="B22" s="4" t="s">
        <v>10</v>
      </c>
      <c r="C22" s="2" t="s">
        <v>11</v>
      </c>
      <c r="D22" s="2" t="s">
        <v>252</v>
      </c>
      <c r="E22" s="2" t="s">
        <v>253</v>
      </c>
      <c r="F22" s="2" t="s">
        <v>253</v>
      </c>
      <c r="G22" s="2" t="s">
        <v>244</v>
      </c>
      <c r="H22" s="2">
        <v>2008000039</v>
      </c>
      <c r="I22" s="2" t="s">
        <v>89</v>
      </c>
      <c r="J22" s="11">
        <v>189</v>
      </c>
      <c r="K22" s="2" t="s">
        <v>240</v>
      </c>
      <c r="L22" s="33">
        <v>212964</v>
      </c>
      <c r="M22" s="33">
        <v>205652</v>
      </c>
      <c r="N22" s="33">
        <v>199808</v>
      </c>
      <c r="O22" s="18">
        <v>212964</v>
      </c>
      <c r="P22" s="18">
        <v>205652</v>
      </c>
      <c r="Q22" s="18">
        <v>199808</v>
      </c>
      <c r="R22" s="18">
        <v>212964.00214690395</v>
      </c>
      <c r="S22" s="18">
        <v>205651.86240543754</v>
      </c>
      <c r="T22" s="18">
        <v>199808.39797888661</v>
      </c>
      <c r="U22" s="17"/>
      <c r="V22" s="17"/>
      <c r="W22" s="17"/>
      <c r="X22" s="157"/>
      <c r="Y22" s="30">
        <f t="shared" si="1"/>
        <v>0</v>
      </c>
      <c r="Z22" s="30">
        <f t="shared" si="2"/>
        <v>0</v>
      </c>
      <c r="AA22" s="30">
        <f t="shared" si="3"/>
        <v>0</v>
      </c>
      <c r="AB22" s="30">
        <f>(R22/L22)-1</f>
        <v>1.0081065093814345E-8</v>
      </c>
      <c r="AC22" s="30">
        <f t="shared" si="5"/>
        <v>-6.6906503437547116E-7</v>
      </c>
      <c r="AD22" s="30">
        <f t="shared" si="8"/>
        <v>1.991806567458454E-6</v>
      </c>
      <c r="AE22" s="30"/>
      <c r="AF22" s="30"/>
      <c r="AG22" s="30"/>
    </row>
    <row r="23" spans="1:45" x14ac:dyDescent="0.25">
      <c r="A23" s="2" t="s">
        <v>95</v>
      </c>
      <c r="B23" s="4" t="s">
        <v>399</v>
      </c>
      <c r="C23" s="2" t="s">
        <v>13</v>
      </c>
      <c r="D23" s="2" t="s">
        <v>254</v>
      </c>
      <c r="E23" s="2" t="s">
        <v>255</v>
      </c>
      <c r="F23" s="2" t="s">
        <v>243</v>
      </c>
      <c r="G23" s="2" t="s">
        <v>244</v>
      </c>
      <c r="H23" s="2">
        <v>2007001020</v>
      </c>
      <c r="I23" s="2" t="s">
        <v>89</v>
      </c>
      <c r="J23" s="11">
        <v>159</v>
      </c>
      <c r="K23" s="2" t="s">
        <v>237</v>
      </c>
      <c r="L23" s="17">
        <v>145</v>
      </c>
      <c r="M23" s="17">
        <v>145</v>
      </c>
      <c r="N23" s="17">
        <v>250</v>
      </c>
      <c r="O23" s="17">
        <v>143.4</v>
      </c>
      <c r="P23" s="17">
        <v>143.30000000000001</v>
      </c>
      <c r="Q23" s="17">
        <v>254.3</v>
      </c>
      <c r="R23" s="18"/>
      <c r="S23" s="18"/>
      <c r="T23" s="18"/>
      <c r="U23" s="17">
        <v>143.41</v>
      </c>
      <c r="V23" s="17">
        <v>144</v>
      </c>
      <c r="W23" s="17"/>
      <c r="Y23" s="30">
        <f t="shared" si="1"/>
        <v>-1.1034482758620623E-2</v>
      </c>
      <c r="Z23" s="30">
        <f t="shared" si="2"/>
        <v>-1.172413793103444E-2</v>
      </c>
      <c r="AA23" s="30">
        <f t="shared" si="3"/>
        <v>1.7200000000000104E-2</v>
      </c>
      <c r="AB23" s="30"/>
      <c r="AC23" s="30"/>
      <c r="AD23" s="30"/>
      <c r="AE23" s="30">
        <f t="shared" si="6"/>
        <v>-1.0965517241379286E-2</v>
      </c>
      <c r="AF23" s="30">
        <f t="shared" si="7"/>
        <v>-6.8965517241379448E-3</v>
      </c>
      <c r="AG23" s="30"/>
    </row>
    <row r="24" spans="1:45" x14ac:dyDescent="0.25">
      <c r="A24" s="2" t="s">
        <v>95</v>
      </c>
      <c r="B24" s="4" t="s">
        <v>12</v>
      </c>
      <c r="C24" s="2" t="s">
        <v>13</v>
      </c>
      <c r="D24" s="2" t="s">
        <v>254</v>
      </c>
      <c r="E24" s="2" t="s">
        <v>255</v>
      </c>
      <c r="F24" s="2" t="s">
        <v>243</v>
      </c>
      <c r="G24" s="2" t="s">
        <v>244</v>
      </c>
      <c r="H24" s="2">
        <v>2007001020</v>
      </c>
      <c r="I24" s="2" t="s">
        <v>89</v>
      </c>
      <c r="J24" s="11">
        <v>159</v>
      </c>
      <c r="K24" s="2" t="s">
        <v>238</v>
      </c>
      <c r="L24" s="17">
        <v>0</v>
      </c>
      <c r="M24" s="17">
        <v>0</v>
      </c>
      <c r="N24" s="17">
        <v>0</v>
      </c>
      <c r="O24" s="17"/>
      <c r="P24" s="17"/>
      <c r="Q24" s="17"/>
      <c r="R24" s="18"/>
      <c r="S24" s="18"/>
      <c r="T24" s="18"/>
      <c r="U24" s="17"/>
      <c r="V24" s="17"/>
      <c r="W24" s="17"/>
      <c r="Y24" s="30"/>
      <c r="Z24" s="30"/>
      <c r="AA24" s="30"/>
      <c r="AB24" s="30"/>
      <c r="AC24" s="30"/>
      <c r="AD24" s="30"/>
      <c r="AE24" s="30"/>
      <c r="AF24" s="30"/>
      <c r="AG24" s="30"/>
    </row>
    <row r="25" spans="1:45" x14ac:dyDescent="0.25">
      <c r="A25" s="2" t="s">
        <v>95</v>
      </c>
      <c r="B25" s="4" t="s">
        <v>12</v>
      </c>
      <c r="C25" s="2" t="s">
        <v>13</v>
      </c>
      <c r="D25" s="2" t="s">
        <v>254</v>
      </c>
      <c r="E25" s="2" t="s">
        <v>255</v>
      </c>
      <c r="F25" s="2" t="s">
        <v>243</v>
      </c>
      <c r="G25" s="2" t="s">
        <v>244</v>
      </c>
      <c r="H25" s="2">
        <v>2007001020</v>
      </c>
      <c r="I25" s="2" t="s">
        <v>89</v>
      </c>
      <c r="J25" s="11">
        <v>159</v>
      </c>
      <c r="K25" s="2" t="s">
        <v>239</v>
      </c>
      <c r="L25" s="17">
        <v>1025</v>
      </c>
      <c r="M25" s="17">
        <v>925</v>
      </c>
      <c r="N25" s="17">
        <v>1150</v>
      </c>
      <c r="O25" s="18">
        <v>1026.3</v>
      </c>
      <c r="P25" s="18">
        <v>1941.4</v>
      </c>
      <c r="Q25" s="18">
        <v>1176.4739999999999</v>
      </c>
      <c r="R25" s="18"/>
      <c r="S25" s="18"/>
      <c r="T25" s="18"/>
      <c r="U25" s="17"/>
      <c r="V25" s="17"/>
      <c r="W25" s="17"/>
      <c r="Y25" s="30">
        <f t="shared" si="1"/>
        <v>1.2682926829268304E-3</v>
      </c>
      <c r="Z25" s="39">
        <f t="shared" si="2"/>
        <v>1.0988108108108108</v>
      </c>
      <c r="AA25" s="30">
        <f t="shared" si="3"/>
        <v>2.3020869565217428E-2</v>
      </c>
      <c r="AB25" s="30"/>
      <c r="AC25" s="30"/>
      <c r="AD25" s="30"/>
      <c r="AE25" s="30"/>
      <c r="AF25" s="30"/>
      <c r="AG25" s="30"/>
      <c r="AH25" s="160" t="s">
        <v>388</v>
      </c>
      <c r="AI25" s="161"/>
      <c r="AJ25" s="161"/>
      <c r="AK25" s="161"/>
      <c r="AL25" s="161"/>
    </row>
    <row r="26" spans="1:45" x14ac:dyDescent="0.25">
      <c r="A26" s="2" t="s">
        <v>95</v>
      </c>
      <c r="B26" s="4" t="s">
        <v>12</v>
      </c>
      <c r="C26" s="2" t="s">
        <v>13</v>
      </c>
      <c r="D26" s="2" t="s">
        <v>254</v>
      </c>
      <c r="E26" s="2" t="s">
        <v>255</v>
      </c>
      <c r="F26" s="2" t="s">
        <v>243</v>
      </c>
      <c r="G26" s="2" t="s">
        <v>244</v>
      </c>
      <c r="H26" s="2">
        <v>2007001020</v>
      </c>
      <c r="I26" s="2" t="s">
        <v>89</v>
      </c>
      <c r="J26" s="11">
        <v>159</v>
      </c>
      <c r="K26" s="2" t="s">
        <v>240</v>
      </c>
      <c r="L26" s="17">
        <v>508008</v>
      </c>
      <c r="M26" s="17">
        <v>480622</v>
      </c>
      <c r="N26" s="17">
        <v>956144</v>
      </c>
      <c r="O26" s="18">
        <v>508008</v>
      </c>
      <c r="P26" s="18">
        <v>480622</v>
      </c>
      <c r="Q26" s="18">
        <v>956144</v>
      </c>
      <c r="R26" s="18">
        <v>508007.84090102499</v>
      </c>
      <c r="S26" s="18">
        <v>480622.199900529</v>
      </c>
      <c r="T26" s="18">
        <v>956144.01442680403</v>
      </c>
      <c r="U26" s="17"/>
      <c r="V26" s="17"/>
      <c r="W26" s="17"/>
      <c r="Y26" s="30">
        <f t="shared" si="1"/>
        <v>0</v>
      </c>
      <c r="Z26" s="30">
        <f t="shared" si="2"/>
        <v>0</v>
      </c>
      <c r="AA26" s="30">
        <f t="shared" si="3"/>
        <v>0</v>
      </c>
      <c r="AB26" s="30">
        <f t="shared" si="4"/>
        <v>-3.1318202664554207E-7</v>
      </c>
      <c r="AC26" s="30">
        <f t="shared" si="5"/>
        <v>4.1592047184124681E-7</v>
      </c>
      <c r="AD26" s="30">
        <f t="shared" si="8"/>
        <v>1.5088526428286286E-8</v>
      </c>
      <c r="AE26" s="30"/>
      <c r="AF26" s="30"/>
      <c r="AG26" s="30"/>
    </row>
    <row r="27" spans="1:45" x14ac:dyDescent="0.25">
      <c r="A27" s="2" t="s">
        <v>96</v>
      </c>
      <c r="B27" s="4" t="s">
        <v>400</v>
      </c>
      <c r="C27" s="2" t="s">
        <v>15</v>
      </c>
      <c r="D27" s="2" t="s">
        <v>256</v>
      </c>
      <c r="E27" s="2" t="s">
        <v>257</v>
      </c>
      <c r="F27" s="2" t="s">
        <v>258</v>
      </c>
      <c r="G27" s="2" t="s">
        <v>259</v>
      </c>
      <c r="H27" s="2">
        <v>2007002316</v>
      </c>
      <c r="I27" s="2" t="s">
        <v>88</v>
      </c>
      <c r="J27" s="11">
        <v>839</v>
      </c>
      <c r="K27" s="2" t="s">
        <v>237</v>
      </c>
      <c r="L27" s="17">
        <v>641</v>
      </c>
      <c r="M27" s="17">
        <v>685</v>
      </c>
      <c r="N27" s="17">
        <v>798</v>
      </c>
      <c r="O27" s="17">
        <v>641.29999999999995</v>
      </c>
      <c r="P27" s="17">
        <v>685.46</v>
      </c>
      <c r="Q27" s="17">
        <v>797.84640000000002</v>
      </c>
      <c r="R27" s="18"/>
      <c r="S27" s="18"/>
      <c r="T27" s="18"/>
      <c r="U27" s="17">
        <v>641.27300000000002</v>
      </c>
      <c r="V27" s="17">
        <v>685.46</v>
      </c>
      <c r="W27" s="17"/>
      <c r="Y27" s="30">
        <f t="shared" si="1"/>
        <v>4.6801872074886397E-4</v>
      </c>
      <c r="Z27" s="30">
        <f t="shared" si="2"/>
        <v>6.7153284671528368E-4</v>
      </c>
      <c r="AA27" s="30">
        <f t="shared" si="3"/>
        <v>-1.9248120300752181E-4</v>
      </c>
      <c r="AB27" s="30"/>
      <c r="AC27" s="30"/>
      <c r="AD27" s="30"/>
      <c r="AE27" s="30">
        <f t="shared" si="6"/>
        <v>4.2589703588147287E-4</v>
      </c>
      <c r="AF27" s="30">
        <f t="shared" si="7"/>
        <v>6.7153284671528368E-4</v>
      </c>
      <c r="AG27" s="30"/>
    </row>
    <row r="28" spans="1:45" x14ac:dyDescent="0.25">
      <c r="A28" s="2" t="s">
        <v>96</v>
      </c>
      <c r="B28" s="2" t="s">
        <v>14</v>
      </c>
      <c r="C28" s="2" t="s">
        <v>15</v>
      </c>
      <c r="D28" s="2" t="s">
        <v>256</v>
      </c>
      <c r="E28" s="2" t="s">
        <v>257</v>
      </c>
      <c r="F28" s="2" t="s">
        <v>258</v>
      </c>
      <c r="G28" s="2" t="s">
        <v>259</v>
      </c>
      <c r="H28" s="2">
        <v>2007002316</v>
      </c>
      <c r="I28" s="2" t="s">
        <v>88</v>
      </c>
      <c r="J28" s="11">
        <v>839</v>
      </c>
      <c r="K28" s="2" t="s">
        <v>238</v>
      </c>
      <c r="L28" s="17">
        <v>484</v>
      </c>
      <c r="M28" s="17">
        <v>655</v>
      </c>
      <c r="N28" s="17">
        <v>819</v>
      </c>
      <c r="O28" s="17">
        <v>483.9</v>
      </c>
      <c r="P28" s="17">
        <v>654.97699999999998</v>
      </c>
      <c r="Q28" s="17">
        <v>819.21659999999997</v>
      </c>
      <c r="R28" s="18"/>
      <c r="S28" s="18"/>
      <c r="T28" s="18"/>
      <c r="U28" s="17">
        <v>483.88400000000001</v>
      </c>
      <c r="V28" s="17">
        <v>654.98</v>
      </c>
      <c r="W28" s="17"/>
      <c r="Y28" s="30">
        <f t="shared" si="1"/>
        <v>-2.0661157024792765E-4</v>
      </c>
      <c r="Z28" s="30">
        <f t="shared" si="2"/>
        <v>-3.5114503816879861E-5</v>
      </c>
      <c r="AA28" s="30">
        <f t="shared" si="3"/>
        <v>2.6446886446884754E-4</v>
      </c>
      <c r="AB28" s="30"/>
      <c r="AC28" s="30"/>
      <c r="AD28" s="30"/>
      <c r="AE28" s="30">
        <f t="shared" si="6"/>
        <v>-2.3966942148756498E-4</v>
      </c>
      <c r="AF28" s="30">
        <f t="shared" si="7"/>
        <v>-3.0534351144972938E-5</v>
      </c>
      <c r="AG28" s="30"/>
    </row>
    <row r="29" spans="1:45" x14ac:dyDescent="0.25">
      <c r="A29" s="2" t="s">
        <v>96</v>
      </c>
      <c r="B29" s="2" t="s">
        <v>14</v>
      </c>
      <c r="C29" s="2" t="s">
        <v>15</v>
      </c>
      <c r="D29" s="2" t="s">
        <v>256</v>
      </c>
      <c r="E29" s="2" t="s">
        <v>257</v>
      </c>
      <c r="F29" s="2" t="s">
        <v>258</v>
      </c>
      <c r="G29" s="2" t="s">
        <v>259</v>
      </c>
      <c r="H29" s="2">
        <v>2007002316</v>
      </c>
      <c r="I29" s="2" t="s">
        <v>88</v>
      </c>
      <c r="J29" s="11">
        <v>839</v>
      </c>
      <c r="K29" s="2" t="s">
        <v>239</v>
      </c>
      <c r="L29" s="17">
        <v>329</v>
      </c>
      <c r="M29" s="17">
        <v>262</v>
      </c>
      <c r="N29" s="17">
        <v>386</v>
      </c>
      <c r="O29" s="17"/>
      <c r="P29" s="17"/>
      <c r="Q29" s="17"/>
      <c r="R29" s="18"/>
      <c r="S29" s="18"/>
      <c r="T29" s="18"/>
      <c r="U29" s="17"/>
      <c r="V29" s="17"/>
      <c r="W29" s="17"/>
      <c r="Y29" s="30"/>
      <c r="Z29" s="30"/>
      <c r="AA29" s="30"/>
      <c r="AB29" s="30"/>
      <c r="AC29" s="30"/>
      <c r="AD29" s="30"/>
      <c r="AE29" s="30"/>
      <c r="AF29" s="30"/>
      <c r="AG29" s="30"/>
    </row>
    <row r="30" spans="1:45" x14ac:dyDescent="0.25">
      <c r="A30" s="2" t="s">
        <v>96</v>
      </c>
      <c r="B30" s="2" t="s">
        <v>14</v>
      </c>
      <c r="C30" s="2" t="s">
        <v>15</v>
      </c>
      <c r="D30" s="2" t="s">
        <v>256</v>
      </c>
      <c r="E30" s="2" t="s">
        <v>257</v>
      </c>
      <c r="F30" s="2" t="s">
        <v>258</v>
      </c>
      <c r="G30" s="2" t="s">
        <v>259</v>
      </c>
      <c r="H30" s="2">
        <v>2007002316</v>
      </c>
      <c r="I30" s="2" t="s">
        <v>88</v>
      </c>
      <c r="J30" s="11">
        <v>839</v>
      </c>
      <c r="K30" s="2" t="s">
        <v>240</v>
      </c>
      <c r="L30" s="17">
        <v>1074077</v>
      </c>
      <c r="M30" s="17">
        <v>1001932</v>
      </c>
      <c r="N30" s="17">
        <v>1152511</v>
      </c>
      <c r="O30" s="18">
        <v>1073462</v>
      </c>
      <c r="P30" s="18">
        <v>1001390.0713</v>
      </c>
      <c r="Q30" s="18">
        <v>1151838.5323000001</v>
      </c>
      <c r="R30" s="18">
        <v>1073461.7272893679</v>
      </c>
      <c r="S30" s="18">
        <v>1001390.0712978283</v>
      </c>
      <c r="T30" s="18">
        <v>1151838.5237462705</v>
      </c>
      <c r="U30" s="17"/>
      <c r="V30" s="17"/>
      <c r="W30" s="17"/>
      <c r="Y30" s="30">
        <f t="shared" si="1"/>
        <v>-5.7258464709697421E-4</v>
      </c>
      <c r="Z30" s="30">
        <f t="shared" si="2"/>
        <v>-5.4088371266713953E-4</v>
      </c>
      <c r="AA30" s="30">
        <f t="shared" si="3"/>
        <v>-5.834805047413294E-4</v>
      </c>
      <c r="AB30" s="30">
        <f t="shared" si="4"/>
        <v>-5.7283854940759493E-4</v>
      </c>
      <c r="AC30" s="30">
        <f t="shared" si="5"/>
        <v>-5.4088371483462794E-4</v>
      </c>
      <c r="AD30" s="30">
        <f t="shared" si="8"/>
        <v>-5.8348792656170989E-4</v>
      </c>
      <c r="AE30" s="30"/>
      <c r="AF30" s="30"/>
      <c r="AG30" s="30"/>
    </row>
    <row r="31" spans="1:45" x14ac:dyDescent="0.25">
      <c r="A31" s="2" t="s">
        <v>97</v>
      </c>
      <c r="B31" s="2" t="s">
        <v>401</v>
      </c>
      <c r="C31" s="2" t="s">
        <v>16</v>
      </c>
      <c r="D31" s="2" t="s">
        <v>260</v>
      </c>
      <c r="E31" s="2" t="s">
        <v>261</v>
      </c>
      <c r="F31" s="2" t="s">
        <v>262</v>
      </c>
      <c r="G31" s="2" t="s">
        <v>244</v>
      </c>
      <c r="H31" s="2">
        <v>2007001204</v>
      </c>
      <c r="I31" s="2" t="s">
        <v>89</v>
      </c>
      <c r="J31" s="11">
        <v>247</v>
      </c>
      <c r="K31" s="2" t="s">
        <v>237</v>
      </c>
      <c r="L31" s="17">
        <v>139.50399999999999</v>
      </c>
      <c r="M31" s="17">
        <v>173.97300000000001</v>
      </c>
      <c r="N31" s="17">
        <v>186.57400000000001</v>
      </c>
      <c r="O31" s="17">
        <v>155.69999999999999</v>
      </c>
      <c r="P31" s="17">
        <v>187.126</v>
      </c>
      <c r="Q31" s="17">
        <v>202.715</v>
      </c>
      <c r="R31" s="18"/>
      <c r="S31" s="18"/>
      <c r="T31" s="18"/>
      <c r="U31" s="17">
        <v>155.72399999999999</v>
      </c>
      <c r="V31" s="17">
        <v>187.126</v>
      </c>
      <c r="W31" s="17"/>
      <c r="Y31" s="39">
        <f t="shared" si="1"/>
        <v>0.11609702947585721</v>
      </c>
      <c r="Z31" s="39">
        <f t="shared" si="2"/>
        <v>7.5603685629379136E-2</v>
      </c>
      <c r="AA31" s="39">
        <f t="shared" si="3"/>
        <v>8.6512590178695836E-2</v>
      </c>
      <c r="AB31" s="30"/>
      <c r="AC31" s="30"/>
      <c r="AD31" s="30"/>
      <c r="AE31" s="39">
        <f t="shared" si="6"/>
        <v>0.11626906755361843</v>
      </c>
      <c r="AF31" s="39">
        <f t="shared" si="7"/>
        <v>7.5603685629379136E-2</v>
      </c>
      <c r="AG31" s="30"/>
      <c r="AH31" s="1" t="s">
        <v>391</v>
      </c>
      <c r="AS31" s="1" t="s">
        <v>453</v>
      </c>
    </row>
    <row r="32" spans="1:45" x14ac:dyDescent="0.25">
      <c r="A32" s="2" t="s">
        <v>97</v>
      </c>
      <c r="B32" s="2" t="s">
        <v>4</v>
      </c>
      <c r="C32" s="2" t="s">
        <v>16</v>
      </c>
      <c r="D32" s="2" t="s">
        <v>260</v>
      </c>
      <c r="E32" s="2" t="s">
        <v>261</v>
      </c>
      <c r="F32" s="2" t="s">
        <v>262</v>
      </c>
      <c r="G32" s="2" t="s">
        <v>244</v>
      </c>
      <c r="H32" s="2">
        <v>2007001204</v>
      </c>
      <c r="I32" s="2" t="s">
        <v>89</v>
      </c>
      <c r="J32" s="11">
        <v>247</v>
      </c>
      <c r="K32" s="2" t="s">
        <v>238</v>
      </c>
      <c r="L32" s="17" t="s">
        <v>151</v>
      </c>
      <c r="M32" s="17" t="s">
        <v>151</v>
      </c>
      <c r="N32" s="17" t="s">
        <v>151</v>
      </c>
      <c r="O32" s="17"/>
      <c r="P32" s="17"/>
      <c r="Q32" s="17"/>
      <c r="R32" s="18"/>
      <c r="S32" s="18"/>
      <c r="T32" s="18"/>
      <c r="U32" s="17">
        <v>13.964</v>
      </c>
      <c r="V32" s="17">
        <v>2.2149999999999999</v>
      </c>
      <c r="W32" s="17"/>
      <c r="Y32" s="30"/>
      <c r="Z32" s="30"/>
      <c r="AA32" s="30"/>
      <c r="AB32" s="30"/>
      <c r="AC32" s="30"/>
      <c r="AD32" s="30"/>
      <c r="AE32" s="40">
        <f>(U32)</f>
        <v>13.964</v>
      </c>
      <c r="AF32" s="37">
        <f>(V32)</f>
        <v>2.2149999999999999</v>
      </c>
      <c r="AG32" s="30"/>
      <c r="AH32" s="5" t="s">
        <v>385</v>
      </c>
    </row>
    <row r="33" spans="1:46" x14ac:dyDescent="0.25">
      <c r="A33" s="2" t="s">
        <v>97</v>
      </c>
      <c r="B33" s="2" t="s">
        <v>4</v>
      </c>
      <c r="C33" s="2" t="s">
        <v>16</v>
      </c>
      <c r="D33" s="2" t="s">
        <v>260</v>
      </c>
      <c r="E33" s="2" t="s">
        <v>261</v>
      </c>
      <c r="F33" s="2" t="s">
        <v>262</v>
      </c>
      <c r="G33" s="2" t="s">
        <v>244</v>
      </c>
      <c r="H33" s="2">
        <v>2007001204</v>
      </c>
      <c r="I33" s="2" t="s">
        <v>89</v>
      </c>
      <c r="J33" s="11">
        <v>247</v>
      </c>
      <c r="K33" s="2" t="s">
        <v>239</v>
      </c>
      <c r="L33" s="17">
        <v>29.372</v>
      </c>
      <c r="M33" s="17">
        <v>17.824000000000002</v>
      </c>
      <c r="N33" s="17">
        <v>14.558</v>
      </c>
      <c r="O33" s="17"/>
      <c r="P33" s="17"/>
      <c r="Q33" s="17"/>
      <c r="R33" s="18"/>
      <c r="S33" s="18"/>
      <c r="T33" s="18"/>
      <c r="U33" s="17"/>
      <c r="V33" s="17"/>
      <c r="W33" s="17"/>
      <c r="Y33" s="30"/>
      <c r="Z33" s="30"/>
      <c r="AA33" s="30"/>
      <c r="AB33" s="30"/>
      <c r="AC33" s="30"/>
      <c r="AD33" s="30"/>
      <c r="AE33" s="30"/>
      <c r="AF33" s="30"/>
      <c r="AG33" s="30"/>
      <c r="AS33" s="1" t="s">
        <v>454</v>
      </c>
      <c r="AT33" s="1">
        <v>16</v>
      </c>
    </row>
    <row r="34" spans="1:46" x14ac:dyDescent="0.25">
      <c r="A34" s="2" t="s">
        <v>97</v>
      </c>
      <c r="B34" s="2" t="s">
        <v>4</v>
      </c>
      <c r="C34" s="2" t="s">
        <v>16</v>
      </c>
      <c r="D34" s="2" t="s">
        <v>260</v>
      </c>
      <c r="E34" s="2" t="s">
        <v>261</v>
      </c>
      <c r="F34" s="2" t="s">
        <v>262</v>
      </c>
      <c r="G34" s="2" t="s">
        <v>244</v>
      </c>
      <c r="H34" s="2">
        <v>2007001204</v>
      </c>
      <c r="I34" s="2" t="s">
        <v>89</v>
      </c>
      <c r="J34" s="11">
        <v>247</v>
      </c>
      <c r="K34" s="2" t="s">
        <v>240</v>
      </c>
      <c r="L34" s="17">
        <v>437477.1</v>
      </c>
      <c r="M34" s="17">
        <v>556195.19999999995</v>
      </c>
      <c r="N34" s="17">
        <v>575675</v>
      </c>
      <c r="O34" s="18">
        <v>437477</v>
      </c>
      <c r="P34" s="18">
        <v>556595</v>
      </c>
      <c r="Q34" s="18">
        <v>575675</v>
      </c>
      <c r="R34" s="18">
        <v>437477.06505229697</v>
      </c>
      <c r="S34" s="18">
        <v>556195.17401689</v>
      </c>
      <c r="T34" s="18">
        <v>575675.0107369941</v>
      </c>
      <c r="U34" s="17"/>
      <c r="V34" s="17"/>
      <c r="W34" s="17"/>
      <c r="Y34" s="30">
        <f t="shared" si="1"/>
        <v>-2.2858339321363275E-7</v>
      </c>
      <c r="Z34" s="30">
        <f t="shared" si="2"/>
        <v>7.188123881687325E-4</v>
      </c>
      <c r="AA34" s="30">
        <f t="shared" si="3"/>
        <v>0</v>
      </c>
      <c r="AB34" s="30">
        <f t="shared" si="4"/>
        <v>-7.9884645454164627E-8</v>
      </c>
      <c r="AC34" s="30">
        <f t="shared" si="5"/>
        <v>-4.6715811219399939E-8</v>
      </c>
      <c r="AD34" s="30">
        <f t="shared" si="8"/>
        <v>1.8651138411485135E-8</v>
      </c>
      <c r="AE34" s="30"/>
      <c r="AF34" s="30"/>
      <c r="AG34" s="30"/>
      <c r="AS34" s="1" t="s">
        <v>455</v>
      </c>
      <c r="AT34" s="1">
        <v>49</v>
      </c>
    </row>
    <row r="35" spans="1:46" x14ac:dyDescent="0.25">
      <c r="A35" s="2" t="s">
        <v>98</v>
      </c>
      <c r="B35" s="2" t="s">
        <v>402</v>
      </c>
      <c r="C35" s="2" t="s">
        <v>18</v>
      </c>
      <c r="D35" s="2" t="s">
        <v>263</v>
      </c>
      <c r="E35" s="2" t="s">
        <v>264</v>
      </c>
      <c r="F35" s="2" t="s">
        <v>264</v>
      </c>
      <c r="G35" s="2" t="s">
        <v>265</v>
      </c>
      <c r="H35" s="2">
        <v>2007002019</v>
      </c>
      <c r="I35" s="2" t="s">
        <v>88</v>
      </c>
      <c r="J35" s="11">
        <v>343</v>
      </c>
      <c r="K35" s="2" t="s">
        <v>237</v>
      </c>
      <c r="L35" s="17">
        <v>1663</v>
      </c>
      <c r="M35" s="17">
        <v>1199</v>
      </c>
      <c r="N35" s="17">
        <v>488</v>
      </c>
      <c r="O35" s="18">
        <v>1662.9715000000001</v>
      </c>
      <c r="P35" s="18">
        <v>1199.114</v>
      </c>
      <c r="Q35" s="18">
        <v>487.91500000000002</v>
      </c>
      <c r="R35" s="18"/>
      <c r="S35" s="18"/>
      <c r="T35" s="18"/>
      <c r="U35" s="17">
        <v>1663</v>
      </c>
      <c r="V35" s="17">
        <v>963.36770000000001</v>
      </c>
      <c r="W35" s="17"/>
      <c r="Y35" s="30">
        <f t="shared" si="1"/>
        <v>-1.7137702946423694E-5</v>
      </c>
      <c r="Z35" s="30">
        <f t="shared" si="2"/>
        <v>9.5079232693917604E-5</v>
      </c>
      <c r="AA35" s="30">
        <f t="shared" si="3"/>
        <v>-1.7418032786875592E-4</v>
      </c>
      <c r="AB35" s="30"/>
      <c r="AC35" s="30"/>
      <c r="AD35" s="30"/>
      <c r="AE35" s="30">
        <f t="shared" si="6"/>
        <v>0</v>
      </c>
      <c r="AF35" s="39">
        <f t="shared" si="7"/>
        <v>-0.19652402001668057</v>
      </c>
      <c r="AG35" s="30"/>
      <c r="AS35" s="1" t="s">
        <v>456</v>
      </c>
      <c r="AT35" s="1">
        <v>46</v>
      </c>
    </row>
    <row r="36" spans="1:46" x14ac:dyDescent="0.25">
      <c r="A36" s="2" t="s">
        <v>98</v>
      </c>
      <c r="B36" s="2" t="s">
        <v>17</v>
      </c>
      <c r="C36" s="2" t="s">
        <v>18</v>
      </c>
      <c r="D36" s="2" t="s">
        <v>263</v>
      </c>
      <c r="E36" s="2" t="s">
        <v>264</v>
      </c>
      <c r="F36" s="2" t="s">
        <v>264</v>
      </c>
      <c r="G36" s="2" t="s">
        <v>265</v>
      </c>
      <c r="H36" s="2">
        <v>2007002019</v>
      </c>
      <c r="I36" s="2" t="s">
        <v>88</v>
      </c>
      <c r="J36" s="11">
        <v>343</v>
      </c>
      <c r="K36" s="2" t="s">
        <v>238</v>
      </c>
      <c r="L36" s="17">
        <v>1035</v>
      </c>
      <c r="M36" s="17">
        <v>973</v>
      </c>
      <c r="N36" s="17">
        <v>641</v>
      </c>
      <c r="O36" s="18">
        <v>1035.1194</v>
      </c>
      <c r="P36" s="18">
        <v>973.36800000000005</v>
      </c>
      <c r="Q36" s="18">
        <v>640.98800000000006</v>
      </c>
      <c r="R36" s="18"/>
      <c r="S36" s="18"/>
      <c r="T36" s="18"/>
      <c r="U36" s="17">
        <v>1035</v>
      </c>
      <c r="V36" s="17">
        <v>1199.11427</v>
      </c>
      <c r="W36" s="17"/>
      <c r="Y36" s="30">
        <f t="shared" si="1"/>
        <v>1.153623188405728E-4</v>
      </c>
      <c r="Z36" s="30">
        <f t="shared" si="2"/>
        <v>3.7821171634133677E-4</v>
      </c>
      <c r="AA36" s="30">
        <f t="shared" si="3"/>
        <v>-1.8720748829914591E-5</v>
      </c>
      <c r="AB36" s="30"/>
      <c r="AC36" s="30"/>
      <c r="AD36" s="30"/>
      <c r="AE36" s="30">
        <f t="shared" si="6"/>
        <v>0</v>
      </c>
      <c r="AF36" s="39">
        <f t="shared" si="7"/>
        <v>0.23238876670092501</v>
      </c>
      <c r="AG36" s="30"/>
      <c r="AS36" s="1" t="s">
        <v>457</v>
      </c>
      <c r="AT36" s="1">
        <v>20</v>
      </c>
    </row>
    <row r="37" spans="1:46" x14ac:dyDescent="0.25">
      <c r="A37" s="2" t="s">
        <v>98</v>
      </c>
      <c r="B37" s="2" t="s">
        <v>17</v>
      </c>
      <c r="C37" s="2" t="s">
        <v>18</v>
      </c>
      <c r="D37" s="2" t="s">
        <v>263</v>
      </c>
      <c r="E37" s="2" t="s">
        <v>264</v>
      </c>
      <c r="F37" s="2" t="s">
        <v>264</v>
      </c>
      <c r="G37" s="2" t="s">
        <v>265</v>
      </c>
      <c r="H37" s="2">
        <v>2007002019</v>
      </c>
      <c r="I37" s="2" t="s">
        <v>88</v>
      </c>
      <c r="J37" s="11">
        <v>343</v>
      </c>
      <c r="K37" s="2" t="s">
        <v>239</v>
      </c>
      <c r="L37" s="17">
        <v>115</v>
      </c>
      <c r="M37" s="17">
        <v>98</v>
      </c>
      <c r="N37" s="17">
        <v>50</v>
      </c>
      <c r="O37" s="17"/>
      <c r="P37" s="17"/>
      <c r="Q37" s="17"/>
      <c r="R37" s="18"/>
      <c r="S37" s="18"/>
      <c r="T37" s="18"/>
      <c r="U37" s="17"/>
      <c r="V37" s="17"/>
      <c r="W37" s="17"/>
      <c r="Y37" s="30"/>
      <c r="Z37" s="30"/>
      <c r="AA37" s="30"/>
      <c r="AB37" s="30"/>
      <c r="AC37" s="30"/>
      <c r="AD37" s="30"/>
      <c r="AE37" s="30"/>
      <c r="AF37" s="30"/>
      <c r="AG37" s="30"/>
    </row>
    <row r="38" spans="1:46" x14ac:dyDescent="0.25">
      <c r="A38" s="2" t="s">
        <v>98</v>
      </c>
      <c r="B38" s="2" t="s">
        <v>17</v>
      </c>
      <c r="C38" s="2" t="s">
        <v>18</v>
      </c>
      <c r="D38" s="2" t="s">
        <v>263</v>
      </c>
      <c r="E38" s="2" t="s">
        <v>264</v>
      </c>
      <c r="F38" s="2" t="s">
        <v>264</v>
      </c>
      <c r="G38" s="2" t="s">
        <v>265</v>
      </c>
      <c r="H38" s="2">
        <v>2007002019</v>
      </c>
      <c r="I38" s="2" t="s">
        <v>88</v>
      </c>
      <c r="J38" s="11">
        <v>343</v>
      </c>
      <c r="K38" s="2" t="s">
        <v>240</v>
      </c>
      <c r="L38" s="17">
        <v>3682848</v>
      </c>
      <c r="M38" s="17">
        <v>3556557</v>
      </c>
      <c r="N38" s="17">
        <v>1972631</v>
      </c>
      <c r="O38" s="18">
        <v>3682847.5378999999</v>
      </c>
      <c r="P38" s="18">
        <v>3556556.773</v>
      </c>
      <c r="Q38" s="18">
        <v>1979130.7050000001</v>
      </c>
      <c r="R38" s="18">
        <v>3682847.5378538496</v>
      </c>
      <c r="S38" s="18">
        <v>3556556.7717437902</v>
      </c>
      <c r="T38" s="18">
        <v>1979130.7050568401</v>
      </c>
      <c r="U38" s="17"/>
      <c r="V38" s="17"/>
      <c r="W38" s="17"/>
      <c r="Y38" s="30">
        <f t="shared" si="1"/>
        <v>-1.2547354655279008E-7</v>
      </c>
      <c r="Z38" s="30">
        <f t="shared" si="2"/>
        <v>-6.382577311114801E-8</v>
      </c>
      <c r="AA38" s="30">
        <f t="shared" si="3"/>
        <v>3.2949421356553987E-3</v>
      </c>
      <c r="AB38" s="30">
        <f t="shared" si="4"/>
        <v>-1.2548607775109133E-7</v>
      </c>
      <c r="AC38" s="30">
        <f t="shared" si="5"/>
        <v>-6.4178982572826726E-8</v>
      </c>
      <c r="AD38" s="30">
        <f t="shared" si="8"/>
        <v>3.294942164469683E-3</v>
      </c>
      <c r="AE38" s="30"/>
      <c r="AF38" s="30"/>
      <c r="AG38" s="30"/>
    </row>
    <row r="39" spans="1:46" ht="15" customHeight="1" x14ac:dyDescent="0.25">
      <c r="A39" s="2" t="s">
        <v>266</v>
      </c>
      <c r="B39" s="38" t="s">
        <v>403</v>
      </c>
      <c r="C39" s="2" t="s">
        <v>268</v>
      </c>
      <c r="D39" s="2" t="s">
        <v>269</v>
      </c>
      <c r="E39" s="2" t="s">
        <v>270</v>
      </c>
      <c r="F39" s="2" t="s">
        <v>271</v>
      </c>
      <c r="G39" s="2" t="s">
        <v>248</v>
      </c>
      <c r="H39" s="2">
        <v>2007002133</v>
      </c>
      <c r="I39" s="2" t="s">
        <v>89</v>
      </c>
      <c r="J39" s="11">
        <v>664</v>
      </c>
      <c r="K39" s="2" t="s">
        <v>237</v>
      </c>
      <c r="L39" s="31">
        <v>0.7</v>
      </c>
      <c r="M39" s="31">
        <v>0.09</v>
      </c>
      <c r="N39" s="31">
        <v>0.44</v>
      </c>
      <c r="O39" s="18"/>
      <c r="P39" s="18"/>
      <c r="Q39" s="18"/>
      <c r="R39" s="18"/>
      <c r="S39" s="18"/>
      <c r="T39" s="18"/>
      <c r="U39" s="17">
        <v>0.7</v>
      </c>
      <c r="V39" s="17">
        <v>0.1</v>
      </c>
      <c r="W39" s="17"/>
      <c r="X39" s="157" t="s">
        <v>386</v>
      </c>
      <c r="Y39" s="30"/>
      <c r="Z39" s="30"/>
      <c r="AA39" s="30"/>
      <c r="AB39" s="30"/>
      <c r="AC39" s="30"/>
      <c r="AD39" s="30"/>
      <c r="AE39" s="30">
        <f t="shared" si="6"/>
        <v>0</v>
      </c>
      <c r="AF39" s="39">
        <f t="shared" si="7"/>
        <v>0.11111111111111116</v>
      </c>
      <c r="AG39" s="30"/>
    </row>
    <row r="40" spans="1:46" x14ac:dyDescent="0.25">
      <c r="A40" s="2" t="s">
        <v>266</v>
      </c>
      <c r="B40" s="38" t="s">
        <v>267</v>
      </c>
      <c r="C40" s="2" t="s">
        <v>268</v>
      </c>
      <c r="D40" s="2" t="s">
        <v>269</v>
      </c>
      <c r="E40" s="2" t="s">
        <v>270</v>
      </c>
      <c r="F40" s="2" t="s">
        <v>271</v>
      </c>
      <c r="G40" s="2" t="s">
        <v>248</v>
      </c>
      <c r="H40" s="2">
        <v>2007002133</v>
      </c>
      <c r="I40" s="2" t="s">
        <v>89</v>
      </c>
      <c r="J40" s="11">
        <v>664</v>
      </c>
      <c r="K40" s="2" t="s">
        <v>238</v>
      </c>
      <c r="L40" s="31">
        <v>0</v>
      </c>
      <c r="M40" s="31">
        <v>0</v>
      </c>
      <c r="N40" s="31">
        <v>0</v>
      </c>
      <c r="O40" s="18"/>
      <c r="P40" s="18"/>
      <c r="Q40" s="18"/>
      <c r="R40" s="18"/>
      <c r="S40" s="18"/>
      <c r="T40" s="18"/>
      <c r="U40" s="17">
        <v>0</v>
      </c>
      <c r="V40" s="17">
        <v>0</v>
      </c>
      <c r="W40" s="17"/>
      <c r="X40" s="157"/>
      <c r="Y40" s="30"/>
      <c r="Z40" s="30"/>
      <c r="AA40" s="30"/>
      <c r="AB40" s="30"/>
      <c r="AC40" s="30"/>
      <c r="AD40" s="30"/>
      <c r="AE40" s="30"/>
      <c r="AF40" s="30"/>
      <c r="AG40" s="30"/>
    </row>
    <row r="41" spans="1:46" x14ac:dyDescent="0.25">
      <c r="A41" s="2" t="s">
        <v>266</v>
      </c>
      <c r="B41" s="38" t="s">
        <v>267</v>
      </c>
      <c r="C41" s="2" t="s">
        <v>268</v>
      </c>
      <c r="D41" s="2" t="s">
        <v>269</v>
      </c>
      <c r="E41" s="2" t="s">
        <v>270</v>
      </c>
      <c r="F41" s="2" t="s">
        <v>271</v>
      </c>
      <c r="G41" s="2" t="s">
        <v>248</v>
      </c>
      <c r="H41" s="2">
        <v>2007002133</v>
      </c>
      <c r="I41" s="2" t="s">
        <v>89</v>
      </c>
      <c r="J41" s="11">
        <v>664</v>
      </c>
      <c r="K41" s="2" t="s">
        <v>239</v>
      </c>
      <c r="L41" s="31">
        <v>6.22</v>
      </c>
      <c r="M41" s="31">
        <v>0.2</v>
      </c>
      <c r="N41" s="31">
        <v>0.26</v>
      </c>
      <c r="O41" s="18"/>
      <c r="P41" s="18"/>
      <c r="Q41" s="18"/>
      <c r="R41" s="18"/>
      <c r="S41" s="18"/>
      <c r="T41" s="18"/>
      <c r="U41" s="17"/>
      <c r="V41" s="17"/>
      <c r="W41" s="17"/>
      <c r="X41" s="157"/>
      <c r="Y41" s="30"/>
      <c r="Z41" s="30"/>
      <c r="AA41" s="30"/>
      <c r="AB41" s="30"/>
      <c r="AC41" s="30"/>
      <c r="AD41" s="30"/>
      <c r="AE41" s="30"/>
      <c r="AF41" s="30"/>
      <c r="AG41" s="30"/>
    </row>
    <row r="42" spans="1:46" x14ac:dyDescent="0.25">
      <c r="A42" s="2" t="s">
        <v>266</v>
      </c>
      <c r="B42" s="38" t="s">
        <v>267</v>
      </c>
      <c r="C42" s="2" t="s">
        <v>268</v>
      </c>
      <c r="D42" s="2" t="s">
        <v>269</v>
      </c>
      <c r="E42" s="2" t="s">
        <v>270</v>
      </c>
      <c r="F42" s="2" t="s">
        <v>271</v>
      </c>
      <c r="G42" s="2" t="s">
        <v>248</v>
      </c>
      <c r="H42" s="2">
        <v>2007002133</v>
      </c>
      <c r="I42" s="2" t="s">
        <v>89</v>
      </c>
      <c r="J42" s="11">
        <v>664</v>
      </c>
      <c r="K42" s="2" t="s">
        <v>240</v>
      </c>
      <c r="L42" s="31">
        <v>3851</v>
      </c>
      <c r="M42" s="31">
        <v>1185</v>
      </c>
      <c r="N42" s="31">
        <v>225</v>
      </c>
      <c r="O42" s="18"/>
      <c r="P42" s="18"/>
      <c r="Q42" s="18"/>
      <c r="R42" s="18">
        <v>3850.8396055961603</v>
      </c>
      <c r="S42" s="18">
        <v>1185.068786115266</v>
      </c>
      <c r="T42" s="18">
        <v>225.22765949500001</v>
      </c>
      <c r="U42" s="17"/>
      <c r="V42" s="17"/>
      <c r="W42" s="17"/>
      <c r="X42" s="157"/>
      <c r="Y42" s="30"/>
      <c r="Z42" s="30"/>
      <c r="AA42" s="30"/>
      <c r="AB42" s="30">
        <f t="shared" si="4"/>
        <v>-4.1650065915277423E-5</v>
      </c>
      <c r="AC42" s="30">
        <f t="shared" si="5"/>
        <v>5.8047354654755523E-5</v>
      </c>
      <c r="AD42" s="30">
        <f t="shared" si="8"/>
        <v>1.0118199777777726E-3</v>
      </c>
      <c r="AE42" s="30"/>
      <c r="AF42" s="30"/>
      <c r="AG42" s="30"/>
    </row>
    <row r="43" spans="1:46" x14ac:dyDescent="0.25">
      <c r="A43" s="3" t="s">
        <v>99</v>
      </c>
      <c r="B43" s="3" t="s">
        <v>404</v>
      </c>
      <c r="C43" s="3" t="s">
        <v>19</v>
      </c>
      <c r="D43" s="3" t="s">
        <v>272</v>
      </c>
      <c r="E43" s="3" t="s">
        <v>235</v>
      </c>
      <c r="F43" s="3" t="s">
        <v>235</v>
      </c>
      <c r="G43" s="3" t="s">
        <v>236</v>
      </c>
      <c r="H43" s="3">
        <v>2007001363</v>
      </c>
      <c r="I43" s="3" t="s">
        <v>89</v>
      </c>
      <c r="J43" s="13">
        <v>391</v>
      </c>
      <c r="K43" s="2" t="s">
        <v>237</v>
      </c>
      <c r="L43" s="17">
        <v>227.1</v>
      </c>
      <c r="M43" s="17">
        <v>213.6</v>
      </c>
      <c r="N43" s="17">
        <v>202</v>
      </c>
      <c r="O43" s="18">
        <v>247.35900000000001</v>
      </c>
      <c r="P43" s="18">
        <v>233.6</v>
      </c>
      <c r="Q43" s="18">
        <v>218</v>
      </c>
      <c r="R43" s="18"/>
      <c r="S43" s="18"/>
      <c r="T43" s="18"/>
      <c r="U43" s="17">
        <v>247.4</v>
      </c>
      <c r="V43" s="17">
        <v>233.6</v>
      </c>
      <c r="W43" s="17"/>
      <c r="Y43" s="39">
        <f t="shared" si="1"/>
        <v>8.9207397622192985E-2</v>
      </c>
      <c r="Z43" s="39">
        <f t="shared" si="2"/>
        <v>9.3632958801498134E-2</v>
      </c>
      <c r="AA43" s="39">
        <f t="shared" si="3"/>
        <v>7.9207920792079278E-2</v>
      </c>
      <c r="AB43" s="30"/>
      <c r="AC43" s="30"/>
      <c r="AD43" s="30"/>
      <c r="AE43" s="39">
        <f t="shared" si="6"/>
        <v>8.9387934830471139E-2</v>
      </c>
      <c r="AF43" s="39">
        <f t="shared" si="7"/>
        <v>9.3632958801498134E-2</v>
      </c>
      <c r="AG43" s="30"/>
      <c r="AH43" s="1" t="s">
        <v>391</v>
      </c>
    </row>
    <row r="44" spans="1:46" x14ac:dyDescent="0.25">
      <c r="A44" s="3" t="s">
        <v>99</v>
      </c>
      <c r="B44" s="3" t="s">
        <v>4</v>
      </c>
      <c r="C44" s="3" t="s">
        <v>19</v>
      </c>
      <c r="D44" s="3" t="s">
        <v>272</v>
      </c>
      <c r="E44" s="3" t="s">
        <v>235</v>
      </c>
      <c r="F44" s="3" t="s">
        <v>235</v>
      </c>
      <c r="G44" s="3" t="s">
        <v>236</v>
      </c>
      <c r="H44" s="3">
        <v>2007001363</v>
      </c>
      <c r="I44" s="3" t="s">
        <v>89</v>
      </c>
      <c r="J44" s="13">
        <v>391</v>
      </c>
      <c r="K44" s="2" t="s">
        <v>238</v>
      </c>
      <c r="L44" s="31">
        <v>0</v>
      </c>
      <c r="M44" s="31">
        <v>0</v>
      </c>
      <c r="N44" s="31">
        <v>0</v>
      </c>
      <c r="O44" s="18"/>
      <c r="P44" s="18"/>
      <c r="Q44" s="18"/>
      <c r="R44" s="18"/>
      <c r="S44" s="18"/>
      <c r="T44" s="18"/>
      <c r="U44" s="17">
        <v>0</v>
      </c>
      <c r="V44" s="17">
        <v>0</v>
      </c>
      <c r="W44" s="17"/>
      <c r="Y44" s="30"/>
      <c r="Z44" s="30"/>
      <c r="AA44" s="30"/>
      <c r="AB44" s="30"/>
      <c r="AC44" s="30"/>
      <c r="AD44" s="30"/>
      <c r="AE44" s="30"/>
      <c r="AF44" s="30"/>
      <c r="AG44" s="30"/>
    </row>
    <row r="45" spans="1:46" x14ac:dyDescent="0.25">
      <c r="A45" s="3" t="s">
        <v>99</v>
      </c>
      <c r="B45" s="3" t="s">
        <v>4</v>
      </c>
      <c r="C45" s="3" t="s">
        <v>19</v>
      </c>
      <c r="D45" s="3" t="s">
        <v>272</v>
      </c>
      <c r="E45" s="3" t="s">
        <v>235</v>
      </c>
      <c r="F45" s="3" t="s">
        <v>235</v>
      </c>
      <c r="G45" s="3" t="s">
        <v>236</v>
      </c>
      <c r="H45" s="3">
        <v>2007001363</v>
      </c>
      <c r="I45" s="3" t="s">
        <v>89</v>
      </c>
      <c r="J45" s="13">
        <v>391</v>
      </c>
      <c r="K45" s="2" t="s">
        <v>239</v>
      </c>
      <c r="L45" s="31">
        <v>14</v>
      </c>
      <c r="M45" s="31">
        <v>14.2</v>
      </c>
      <c r="N45" s="31">
        <v>11.9</v>
      </c>
      <c r="O45" s="18">
        <v>791.60299999999995</v>
      </c>
      <c r="P45" s="18">
        <v>862.8</v>
      </c>
      <c r="Q45" s="18">
        <v>673</v>
      </c>
      <c r="R45" s="18"/>
      <c r="S45" s="18"/>
      <c r="T45" s="18"/>
      <c r="U45" s="17"/>
      <c r="V45" s="17"/>
      <c r="W45" s="17"/>
      <c r="Y45" s="39">
        <f t="shared" si="1"/>
        <v>55.543071428571423</v>
      </c>
      <c r="Z45" s="39">
        <f t="shared" si="2"/>
        <v>59.760563380281688</v>
      </c>
      <c r="AA45" s="39">
        <f t="shared" si="3"/>
        <v>55.554621848739494</v>
      </c>
      <c r="AB45" s="30"/>
      <c r="AC45" s="30"/>
      <c r="AD45" s="30"/>
      <c r="AE45" s="30"/>
      <c r="AF45" s="30"/>
      <c r="AG45" s="30"/>
      <c r="AH45" s="1" t="s">
        <v>392</v>
      </c>
    </row>
    <row r="46" spans="1:46" x14ac:dyDescent="0.25">
      <c r="A46" s="3" t="s">
        <v>99</v>
      </c>
      <c r="B46" s="3" t="s">
        <v>4</v>
      </c>
      <c r="C46" s="3" t="s">
        <v>19</v>
      </c>
      <c r="D46" s="3" t="s">
        <v>272</v>
      </c>
      <c r="E46" s="3" t="s">
        <v>235</v>
      </c>
      <c r="F46" s="3" t="s">
        <v>235</v>
      </c>
      <c r="G46" s="3" t="s">
        <v>236</v>
      </c>
      <c r="H46" s="3">
        <v>2007001363</v>
      </c>
      <c r="I46" s="3" t="s">
        <v>89</v>
      </c>
      <c r="J46" s="13">
        <v>391</v>
      </c>
      <c r="K46" s="2" t="s">
        <v>240</v>
      </c>
      <c r="L46" s="46">
        <v>657640</v>
      </c>
      <c r="M46" s="46">
        <v>642717.9</v>
      </c>
      <c r="N46" s="46">
        <v>607316</v>
      </c>
      <c r="O46" s="18">
        <v>657640</v>
      </c>
      <c r="P46" s="18">
        <v>641257</v>
      </c>
      <c r="Q46" s="18">
        <v>607316</v>
      </c>
      <c r="R46" s="18">
        <v>657639.6894293665</v>
      </c>
      <c r="S46" s="18">
        <v>642717.88849792199</v>
      </c>
      <c r="T46" s="18">
        <v>607315.7898950025</v>
      </c>
      <c r="U46" s="17"/>
      <c r="V46" s="17"/>
      <c r="W46" s="17"/>
      <c r="Y46" s="30">
        <f t="shared" si="1"/>
        <v>0</v>
      </c>
      <c r="Z46" s="30">
        <f t="shared" si="2"/>
        <v>-2.2730034436569957E-3</v>
      </c>
      <c r="AA46" s="30">
        <f t="shared" si="3"/>
        <v>0</v>
      </c>
      <c r="AB46" s="30">
        <f t="shared" si="4"/>
        <v>-4.7225021826413638E-7</v>
      </c>
      <c r="AC46" s="30">
        <f t="shared" si="5"/>
        <v>-1.7895997683758935E-8</v>
      </c>
      <c r="AD46" s="30">
        <f t="shared" si="8"/>
        <v>-3.459566313424034E-7</v>
      </c>
      <c r="AE46" s="30"/>
      <c r="AF46" s="30"/>
      <c r="AG46" s="30"/>
    </row>
    <row r="47" spans="1:46" x14ac:dyDescent="0.25">
      <c r="A47" s="3" t="s">
        <v>100</v>
      </c>
      <c r="B47" s="3" t="s">
        <v>405</v>
      </c>
      <c r="C47" s="3" t="s">
        <v>20</v>
      </c>
      <c r="D47" s="3" t="s">
        <v>273</v>
      </c>
      <c r="E47" s="3" t="s">
        <v>274</v>
      </c>
      <c r="F47" s="3" t="s">
        <v>275</v>
      </c>
      <c r="G47" s="3" t="s">
        <v>276</v>
      </c>
      <c r="H47" s="3">
        <v>2007001816</v>
      </c>
      <c r="I47" s="3" t="s">
        <v>89</v>
      </c>
      <c r="J47" s="13">
        <v>7</v>
      </c>
      <c r="K47" s="2" t="s">
        <v>237</v>
      </c>
      <c r="L47" s="31">
        <v>246.7</v>
      </c>
      <c r="M47" s="31">
        <v>286.10000000000002</v>
      </c>
      <c r="N47" s="31">
        <v>310.8</v>
      </c>
      <c r="O47" s="18">
        <v>288.452</v>
      </c>
      <c r="P47" s="18"/>
      <c r="Q47" s="18">
        <v>330.34199999999998</v>
      </c>
      <c r="R47" s="18"/>
      <c r="S47" s="18"/>
      <c r="T47" s="18"/>
      <c r="U47" s="17">
        <v>288.452</v>
      </c>
      <c r="V47" s="17">
        <v>321.12</v>
      </c>
      <c r="W47" s="17"/>
      <c r="Y47" s="39">
        <f t="shared" si="1"/>
        <v>0.16924199432509135</v>
      </c>
      <c r="Z47" s="30"/>
      <c r="AA47" s="39">
        <f t="shared" si="3"/>
        <v>6.2876447876447861E-2</v>
      </c>
      <c r="AB47" s="30"/>
      <c r="AC47" s="30"/>
      <c r="AD47" s="30"/>
      <c r="AE47" s="39">
        <f t="shared" si="6"/>
        <v>0.16924199432509135</v>
      </c>
      <c r="AF47" s="39">
        <f t="shared" si="7"/>
        <v>0.12240475358266334</v>
      </c>
      <c r="AG47" s="30"/>
      <c r="AH47" s="1" t="s">
        <v>391</v>
      </c>
    </row>
    <row r="48" spans="1:46" x14ac:dyDescent="0.25">
      <c r="A48" s="3" t="s">
        <v>100</v>
      </c>
      <c r="B48" s="3" t="s">
        <v>4</v>
      </c>
      <c r="C48" s="3" t="s">
        <v>20</v>
      </c>
      <c r="D48" s="3" t="s">
        <v>273</v>
      </c>
      <c r="E48" s="3" t="s">
        <v>274</v>
      </c>
      <c r="F48" s="3" t="s">
        <v>275</v>
      </c>
      <c r="G48" s="3" t="s">
        <v>276</v>
      </c>
      <c r="H48" s="3">
        <v>2007001816</v>
      </c>
      <c r="I48" s="3" t="s">
        <v>89</v>
      </c>
      <c r="J48" s="13">
        <v>7</v>
      </c>
      <c r="K48" s="2" t="s">
        <v>238</v>
      </c>
      <c r="L48" s="31">
        <v>0</v>
      </c>
      <c r="M48" s="31">
        <v>0</v>
      </c>
      <c r="N48" s="31">
        <v>0</v>
      </c>
      <c r="O48" s="18"/>
      <c r="P48" s="18"/>
      <c r="Q48" s="18"/>
      <c r="R48" s="18"/>
      <c r="S48" s="18"/>
      <c r="T48" s="18"/>
      <c r="U48" s="17">
        <v>0</v>
      </c>
      <c r="V48" s="17">
        <v>0</v>
      </c>
      <c r="W48" s="17"/>
      <c r="Y48" s="30"/>
      <c r="Z48" s="30"/>
      <c r="AA48" s="30"/>
      <c r="AB48" s="30"/>
      <c r="AC48" s="30"/>
      <c r="AD48" s="30"/>
      <c r="AE48" s="30"/>
      <c r="AF48" s="30"/>
      <c r="AG48" s="30"/>
    </row>
    <row r="49" spans="1:46" x14ac:dyDescent="0.25">
      <c r="A49" s="3" t="s">
        <v>100</v>
      </c>
      <c r="B49" s="3" t="s">
        <v>4</v>
      </c>
      <c r="C49" s="3" t="s">
        <v>20</v>
      </c>
      <c r="D49" s="3" t="s">
        <v>273</v>
      </c>
      <c r="E49" s="3" t="s">
        <v>274</v>
      </c>
      <c r="F49" s="3" t="s">
        <v>275</v>
      </c>
      <c r="G49" s="3" t="s">
        <v>276</v>
      </c>
      <c r="H49" s="3">
        <v>2007001816</v>
      </c>
      <c r="I49" s="3" t="s">
        <v>89</v>
      </c>
      <c r="J49" s="13">
        <v>7</v>
      </c>
      <c r="K49" s="2" t="s">
        <v>239</v>
      </c>
      <c r="L49" s="31">
        <v>24.9</v>
      </c>
      <c r="M49" s="31">
        <v>12</v>
      </c>
      <c r="N49" s="31">
        <v>16.8</v>
      </c>
      <c r="O49" s="18">
        <v>562.60500000000002</v>
      </c>
      <c r="P49" s="18"/>
      <c r="Q49" s="18"/>
      <c r="R49" s="18"/>
      <c r="S49" s="18"/>
      <c r="T49" s="18"/>
      <c r="U49" s="17"/>
      <c r="V49" s="17"/>
      <c r="W49" s="17"/>
      <c r="Y49" s="39">
        <f t="shared" si="1"/>
        <v>21.594578313253013</v>
      </c>
      <c r="Z49" s="30"/>
      <c r="AA49" s="30"/>
      <c r="AB49" s="30"/>
      <c r="AC49" s="30"/>
      <c r="AD49" s="30"/>
      <c r="AE49" s="30"/>
      <c r="AF49" s="30"/>
      <c r="AG49" s="30"/>
      <c r="AH49" s="1" t="s">
        <v>392</v>
      </c>
    </row>
    <row r="50" spans="1:46" x14ac:dyDescent="0.25">
      <c r="A50" s="3" t="s">
        <v>100</v>
      </c>
      <c r="B50" s="3" t="s">
        <v>4</v>
      </c>
      <c r="C50" s="3" t="s">
        <v>20</v>
      </c>
      <c r="D50" s="3" t="s">
        <v>273</v>
      </c>
      <c r="E50" s="3" t="s">
        <v>274</v>
      </c>
      <c r="F50" s="3" t="s">
        <v>275</v>
      </c>
      <c r="G50" s="3" t="s">
        <v>276</v>
      </c>
      <c r="H50" s="3">
        <v>2007001816</v>
      </c>
      <c r="I50" s="3" t="s">
        <v>89</v>
      </c>
      <c r="J50" s="13">
        <v>7</v>
      </c>
      <c r="K50" s="2" t="s">
        <v>240</v>
      </c>
      <c r="L50" s="31">
        <v>808170</v>
      </c>
      <c r="M50" s="31">
        <v>865710</v>
      </c>
      <c r="N50" s="31">
        <v>973008</v>
      </c>
      <c r="O50" s="18">
        <v>807453.38080000004</v>
      </c>
      <c r="P50" s="18"/>
      <c r="Q50" s="18">
        <v>973008</v>
      </c>
      <c r="R50" s="18">
        <v>807454.46917583153</v>
      </c>
      <c r="S50" s="18">
        <v>867696.89749697654</v>
      </c>
      <c r="T50" s="18">
        <v>973008.05974332953</v>
      </c>
      <c r="U50" s="17"/>
      <c r="V50" s="17"/>
      <c r="W50" s="17"/>
      <c r="Y50" s="30">
        <f t="shared" si="1"/>
        <v>-8.8671838845777451E-4</v>
      </c>
      <c r="Z50" s="30"/>
      <c r="AA50" s="30">
        <f t="shared" si="3"/>
        <v>0</v>
      </c>
      <c r="AB50" s="30">
        <f t="shared" si="4"/>
        <v>-8.853716720101934E-4</v>
      </c>
      <c r="AC50" s="30">
        <f t="shared" si="5"/>
        <v>2.2951074805379612E-3</v>
      </c>
      <c r="AD50" s="30">
        <f t="shared" si="8"/>
        <v>6.140065611504042E-8</v>
      </c>
      <c r="AE50" s="30"/>
      <c r="AF50" s="30"/>
      <c r="AG50" s="30"/>
    </row>
    <row r="51" spans="1:46" x14ac:dyDescent="0.25">
      <c r="A51" s="3" t="s">
        <v>101</v>
      </c>
      <c r="B51" s="3" t="s">
        <v>406</v>
      </c>
      <c r="C51" s="3" t="s">
        <v>21</v>
      </c>
      <c r="D51" s="3" t="s">
        <v>277</v>
      </c>
      <c r="E51" s="3" t="s">
        <v>278</v>
      </c>
      <c r="F51" s="3" t="s">
        <v>278</v>
      </c>
      <c r="G51" s="3" t="s">
        <v>279</v>
      </c>
      <c r="H51" s="3">
        <v>2007000924</v>
      </c>
      <c r="I51" s="3" t="s">
        <v>89</v>
      </c>
      <c r="J51" s="13">
        <v>796</v>
      </c>
      <c r="K51" s="2" t="s">
        <v>237</v>
      </c>
      <c r="L51" s="31">
        <v>57.2</v>
      </c>
      <c r="M51" s="31">
        <v>4.9000000000000004</v>
      </c>
      <c r="N51" s="31">
        <v>10.8</v>
      </c>
      <c r="O51" s="18"/>
      <c r="P51" s="18"/>
      <c r="Q51" s="18"/>
      <c r="R51" s="18"/>
      <c r="S51" s="18"/>
      <c r="T51" s="18"/>
      <c r="U51" s="17">
        <v>57.145000000000003</v>
      </c>
      <c r="V51" s="17">
        <v>6.85</v>
      </c>
      <c r="W51" s="17"/>
      <c r="Y51" s="30"/>
      <c r="Z51" s="30"/>
      <c r="AA51" s="30"/>
      <c r="AB51" s="30"/>
      <c r="AC51" s="30"/>
      <c r="AD51" s="30"/>
      <c r="AE51" s="30">
        <f t="shared" si="6"/>
        <v>-9.6153846153845812E-4</v>
      </c>
      <c r="AF51" s="39">
        <f t="shared" si="7"/>
        <v>0.39795918367346927</v>
      </c>
      <c r="AG51" s="30"/>
    </row>
    <row r="52" spans="1:46" x14ac:dyDescent="0.25">
      <c r="A52" s="3" t="s">
        <v>101</v>
      </c>
      <c r="B52" s="3" t="s">
        <v>8</v>
      </c>
      <c r="C52" s="3" t="s">
        <v>21</v>
      </c>
      <c r="D52" s="3" t="s">
        <v>277</v>
      </c>
      <c r="E52" s="3" t="s">
        <v>278</v>
      </c>
      <c r="F52" s="3" t="s">
        <v>278</v>
      </c>
      <c r="G52" s="3" t="s">
        <v>279</v>
      </c>
      <c r="H52" s="3">
        <v>2007000924</v>
      </c>
      <c r="I52" s="3" t="s">
        <v>89</v>
      </c>
      <c r="J52" s="13">
        <v>796</v>
      </c>
      <c r="K52" s="2" t="s">
        <v>238</v>
      </c>
      <c r="L52" s="31">
        <v>0</v>
      </c>
      <c r="M52" s="31">
        <v>0</v>
      </c>
      <c r="N52" s="31">
        <v>0</v>
      </c>
      <c r="O52" s="18"/>
      <c r="P52" s="18"/>
      <c r="Q52" s="18"/>
      <c r="R52" s="18"/>
      <c r="S52" s="18"/>
      <c r="T52" s="18"/>
      <c r="U52" s="17">
        <v>0</v>
      </c>
      <c r="V52" s="17">
        <v>0</v>
      </c>
      <c r="W52" s="17"/>
      <c r="Y52" s="30"/>
      <c r="Z52" s="30"/>
      <c r="AA52" s="30"/>
      <c r="AB52" s="30"/>
      <c r="AC52" s="30"/>
      <c r="AD52" s="30"/>
      <c r="AE52" s="30"/>
      <c r="AF52" s="30"/>
      <c r="AG52" s="30"/>
    </row>
    <row r="53" spans="1:46" x14ac:dyDescent="0.25">
      <c r="A53" s="3" t="s">
        <v>101</v>
      </c>
      <c r="B53" s="3" t="s">
        <v>8</v>
      </c>
      <c r="C53" s="3" t="s">
        <v>21</v>
      </c>
      <c r="D53" s="3" t="s">
        <v>277</v>
      </c>
      <c r="E53" s="3" t="s">
        <v>278</v>
      </c>
      <c r="F53" s="3" t="s">
        <v>278</v>
      </c>
      <c r="G53" s="3" t="s">
        <v>279</v>
      </c>
      <c r="H53" s="3">
        <v>2007000924</v>
      </c>
      <c r="I53" s="3" t="s">
        <v>89</v>
      </c>
      <c r="J53" s="13">
        <v>796</v>
      </c>
      <c r="K53" s="2" t="s">
        <v>239</v>
      </c>
      <c r="L53" s="31">
        <v>35</v>
      </c>
      <c r="M53" s="31">
        <v>7</v>
      </c>
      <c r="N53" s="31">
        <v>10</v>
      </c>
      <c r="O53" s="18"/>
      <c r="P53" s="18"/>
      <c r="Q53" s="18"/>
      <c r="R53" s="18"/>
      <c r="S53" s="18"/>
      <c r="T53" s="18"/>
      <c r="U53" s="17"/>
      <c r="V53" s="17"/>
      <c r="W53" s="17"/>
      <c r="Y53" s="30"/>
      <c r="Z53" s="30"/>
      <c r="AA53" s="30"/>
      <c r="AB53" s="30"/>
      <c r="AC53" s="30"/>
      <c r="AD53" s="30"/>
      <c r="AE53" s="30"/>
      <c r="AF53" s="30"/>
      <c r="AG53" s="30"/>
    </row>
    <row r="54" spans="1:46" x14ac:dyDescent="0.25">
      <c r="A54" s="3" t="s">
        <v>101</v>
      </c>
      <c r="B54" s="3" t="s">
        <v>8</v>
      </c>
      <c r="C54" s="3" t="s">
        <v>21</v>
      </c>
      <c r="D54" s="3" t="s">
        <v>277</v>
      </c>
      <c r="E54" s="3" t="s">
        <v>278</v>
      </c>
      <c r="F54" s="3" t="s">
        <v>278</v>
      </c>
      <c r="G54" s="3" t="s">
        <v>279</v>
      </c>
      <c r="H54" s="3">
        <v>2007000924</v>
      </c>
      <c r="I54" s="3" t="s">
        <v>89</v>
      </c>
      <c r="J54" s="13">
        <v>796</v>
      </c>
      <c r="K54" s="2" t="s">
        <v>240</v>
      </c>
      <c r="L54" s="31">
        <v>165600</v>
      </c>
      <c r="M54" s="31">
        <v>12700</v>
      </c>
      <c r="N54" s="31">
        <v>35700</v>
      </c>
      <c r="O54" s="18">
        <v>165639</v>
      </c>
      <c r="P54" s="18"/>
      <c r="Q54" s="18"/>
      <c r="R54" s="18">
        <v>165639.32571421805</v>
      </c>
      <c r="S54" s="18">
        <v>12727.323056254101</v>
      </c>
      <c r="T54" s="18">
        <v>35746.545340734701</v>
      </c>
      <c r="U54" s="17"/>
      <c r="V54" s="17"/>
      <c r="W54" s="17"/>
      <c r="Y54" s="30">
        <f t="shared" si="1"/>
        <v>2.3550724637688703E-4</v>
      </c>
      <c r="Z54" s="30"/>
      <c r="AA54" s="30"/>
      <c r="AB54" s="30">
        <f t="shared" si="4"/>
        <v>2.3747411967423027E-4</v>
      </c>
      <c r="AC54" s="30">
        <f t="shared" si="5"/>
        <v>2.151421752291327E-3</v>
      </c>
      <c r="AD54" s="30">
        <f t="shared" si="8"/>
        <v>1.3037910569944078E-3</v>
      </c>
      <c r="AE54" s="30"/>
      <c r="AF54" s="30"/>
      <c r="AG54" s="30"/>
      <c r="AS54" s="6" t="s">
        <v>458</v>
      </c>
      <c r="AT54" s="1">
        <v>15</v>
      </c>
    </row>
    <row r="55" spans="1:46" x14ac:dyDescent="0.25">
      <c r="A55" s="3" t="s">
        <v>102</v>
      </c>
      <c r="B55" s="3" t="s">
        <v>407</v>
      </c>
      <c r="C55" s="3" t="s">
        <v>22</v>
      </c>
      <c r="D55" s="3" t="s">
        <v>280</v>
      </c>
      <c r="E55" s="3" t="s">
        <v>281</v>
      </c>
      <c r="F55" s="3" t="s">
        <v>262</v>
      </c>
      <c r="G55" s="3" t="s">
        <v>244</v>
      </c>
      <c r="H55" s="3">
        <v>2007001158</v>
      </c>
      <c r="I55" s="3" t="s">
        <v>89</v>
      </c>
      <c r="J55" s="13">
        <v>244</v>
      </c>
      <c r="K55" s="2" t="s">
        <v>237</v>
      </c>
      <c r="L55" s="31">
        <v>557</v>
      </c>
      <c r="M55" s="31">
        <v>396</v>
      </c>
      <c r="N55" s="31">
        <v>421</v>
      </c>
      <c r="O55" s="18">
        <v>557.20000000000005</v>
      </c>
      <c r="P55" s="18">
        <v>396.15600000000001</v>
      </c>
      <c r="Q55" s="18">
        <v>412</v>
      </c>
      <c r="R55" s="18"/>
      <c r="S55" s="18"/>
      <c r="T55" s="18"/>
      <c r="U55" s="17">
        <v>557.23800000000006</v>
      </c>
      <c r="V55" s="17">
        <v>396.15499999999997</v>
      </c>
      <c r="W55" s="17"/>
      <c r="Y55" s="30">
        <f t="shared" si="1"/>
        <v>3.59066427289223E-4</v>
      </c>
      <c r="Z55" s="30">
        <f t="shared" si="2"/>
        <v>3.9393939393939092E-4</v>
      </c>
      <c r="AA55" s="30">
        <f t="shared" si="3"/>
        <v>-2.1377672209026088E-2</v>
      </c>
      <c r="AB55" s="30"/>
      <c r="AC55" s="30"/>
      <c r="AD55" s="30"/>
      <c r="AE55" s="30">
        <f t="shared" si="6"/>
        <v>4.2728904847399996E-4</v>
      </c>
      <c r="AF55" s="30">
        <f t="shared" si="7"/>
        <v>3.9141414141408148E-4</v>
      </c>
      <c r="AG55" s="30"/>
      <c r="AS55" s="1" t="s">
        <v>462</v>
      </c>
      <c r="AT55" s="1">
        <v>4</v>
      </c>
    </row>
    <row r="56" spans="1:46" x14ac:dyDescent="0.25">
      <c r="A56" s="3" t="s">
        <v>102</v>
      </c>
      <c r="B56" s="3" t="s">
        <v>8</v>
      </c>
      <c r="C56" s="3" t="s">
        <v>22</v>
      </c>
      <c r="D56" s="3" t="s">
        <v>280</v>
      </c>
      <c r="E56" s="3" t="s">
        <v>281</v>
      </c>
      <c r="F56" s="3" t="s">
        <v>262</v>
      </c>
      <c r="G56" s="3" t="s">
        <v>244</v>
      </c>
      <c r="H56" s="3">
        <v>2007001158</v>
      </c>
      <c r="I56" s="3" t="s">
        <v>89</v>
      </c>
      <c r="J56" s="13">
        <v>244</v>
      </c>
      <c r="K56" s="2" t="s">
        <v>238</v>
      </c>
      <c r="L56" s="31">
        <v>0</v>
      </c>
      <c r="M56" s="31">
        <v>0</v>
      </c>
      <c r="N56" s="31">
        <v>0</v>
      </c>
      <c r="O56" s="18"/>
      <c r="P56" s="18"/>
      <c r="Q56" s="18"/>
      <c r="R56" s="18"/>
      <c r="S56" s="18"/>
      <c r="T56" s="18"/>
      <c r="U56" s="17">
        <v>0</v>
      </c>
      <c r="V56" s="17">
        <v>0</v>
      </c>
      <c r="W56" s="17"/>
      <c r="Y56" s="30"/>
      <c r="Z56" s="30"/>
      <c r="AA56" s="30"/>
      <c r="AB56" s="30"/>
      <c r="AC56" s="30"/>
      <c r="AD56" s="30"/>
      <c r="AE56" s="30"/>
      <c r="AF56" s="30"/>
      <c r="AG56" s="30"/>
      <c r="AS56" s="1" t="s">
        <v>459</v>
      </c>
      <c r="AT56" s="1">
        <v>25</v>
      </c>
    </row>
    <row r="57" spans="1:46" x14ac:dyDescent="0.25">
      <c r="A57" s="3" t="s">
        <v>102</v>
      </c>
      <c r="B57" s="3" t="s">
        <v>8</v>
      </c>
      <c r="C57" s="3" t="s">
        <v>22</v>
      </c>
      <c r="D57" s="3" t="s">
        <v>280</v>
      </c>
      <c r="E57" s="3" t="s">
        <v>281</v>
      </c>
      <c r="F57" s="3" t="s">
        <v>262</v>
      </c>
      <c r="G57" s="3" t="s">
        <v>244</v>
      </c>
      <c r="H57" s="3">
        <v>2007001158</v>
      </c>
      <c r="I57" s="3" t="s">
        <v>89</v>
      </c>
      <c r="J57" s="13">
        <v>244</v>
      </c>
      <c r="K57" s="2" t="s">
        <v>239</v>
      </c>
      <c r="L57" s="31">
        <v>1099</v>
      </c>
      <c r="M57" s="31">
        <v>1026</v>
      </c>
      <c r="N57" s="31">
        <v>809</v>
      </c>
      <c r="O57" s="18">
        <v>1098.5999999999999</v>
      </c>
      <c r="P57" s="18">
        <v>1026.3589999999999</v>
      </c>
      <c r="Q57" s="18">
        <v>809</v>
      </c>
      <c r="R57" s="18"/>
      <c r="S57" s="18"/>
      <c r="T57" s="18"/>
      <c r="U57" s="17"/>
      <c r="V57" s="17"/>
      <c r="W57" s="17"/>
      <c r="Y57" s="30">
        <f t="shared" si="1"/>
        <v>-3.6396724294818217E-4</v>
      </c>
      <c r="Z57" s="30">
        <f t="shared" si="2"/>
        <v>3.4990253411293359E-4</v>
      </c>
      <c r="AA57" s="30">
        <f t="shared" si="3"/>
        <v>0</v>
      </c>
      <c r="AB57" s="30"/>
      <c r="AC57" s="30"/>
      <c r="AD57" s="30"/>
      <c r="AE57" s="30"/>
      <c r="AF57" s="30"/>
      <c r="AG57" s="30"/>
      <c r="AS57" s="1" t="s">
        <v>460</v>
      </c>
      <c r="AT57" s="1">
        <v>5</v>
      </c>
    </row>
    <row r="58" spans="1:46" x14ac:dyDescent="0.25">
      <c r="A58" s="3" t="s">
        <v>102</v>
      </c>
      <c r="B58" s="3" t="s">
        <v>8</v>
      </c>
      <c r="C58" s="3" t="s">
        <v>22</v>
      </c>
      <c r="D58" s="3" t="s">
        <v>280</v>
      </c>
      <c r="E58" s="3" t="s">
        <v>281</v>
      </c>
      <c r="F58" s="3" t="s">
        <v>262</v>
      </c>
      <c r="G58" s="3" t="s">
        <v>244</v>
      </c>
      <c r="H58" s="3">
        <v>2007001158</v>
      </c>
      <c r="I58" s="3" t="s">
        <v>89</v>
      </c>
      <c r="J58" s="13">
        <v>244</v>
      </c>
      <c r="K58" s="2" t="s">
        <v>240</v>
      </c>
      <c r="L58" s="31">
        <v>1421000</v>
      </c>
      <c r="M58" s="31">
        <v>1029000</v>
      </c>
      <c r="N58" s="31">
        <v>1033000</v>
      </c>
      <c r="O58" s="18">
        <v>1420979</v>
      </c>
      <c r="P58" s="18">
        <v>1029338</v>
      </c>
      <c r="Q58" s="18">
        <v>1033479</v>
      </c>
      <c r="R58" s="18">
        <v>1420978.9510951948</v>
      </c>
      <c r="S58" s="18">
        <v>1029337.6236790053</v>
      </c>
      <c r="T58" s="18">
        <v>1033479.4237385649</v>
      </c>
      <c r="U58" s="17"/>
      <c r="V58" s="17"/>
      <c r="W58" s="17"/>
      <c r="Y58" s="30">
        <f t="shared" si="1"/>
        <v>-1.477832512319921E-5</v>
      </c>
      <c r="Z58" s="30">
        <f t="shared" si="2"/>
        <v>3.2847424684168125E-4</v>
      </c>
      <c r="AA58" s="30">
        <f t="shared" si="3"/>
        <v>4.6369796708622957E-4</v>
      </c>
      <c r="AB58" s="30">
        <f t="shared" si="4"/>
        <v>-1.481274089032425E-5</v>
      </c>
      <c r="AC58" s="30">
        <f t="shared" si="5"/>
        <v>3.2810853158915521E-4</v>
      </c>
      <c r="AD58" s="30">
        <f t="shared" si="8"/>
        <v>4.6410816898823093E-4</v>
      </c>
      <c r="AE58" s="30"/>
      <c r="AF58" s="30"/>
      <c r="AG58" s="30"/>
      <c r="AS58" s="1" t="s">
        <v>461</v>
      </c>
      <c r="AT58" s="1">
        <v>1</v>
      </c>
    </row>
    <row r="59" spans="1:46" x14ac:dyDescent="0.25">
      <c r="A59" s="8" t="s">
        <v>103</v>
      </c>
      <c r="B59" s="9" t="s">
        <v>408</v>
      </c>
      <c r="C59" s="9" t="s">
        <v>24</v>
      </c>
      <c r="D59" s="8" t="s">
        <v>282</v>
      </c>
      <c r="E59" s="8" t="s">
        <v>283</v>
      </c>
      <c r="F59" s="8" t="s">
        <v>283</v>
      </c>
      <c r="G59" s="8" t="s">
        <v>284</v>
      </c>
      <c r="H59" s="8">
        <v>2007001725</v>
      </c>
      <c r="I59" s="8" t="s">
        <v>89</v>
      </c>
      <c r="J59" s="12">
        <v>108</v>
      </c>
      <c r="K59" s="2" t="s">
        <v>237</v>
      </c>
      <c r="L59" s="17">
        <v>919</v>
      </c>
      <c r="M59" s="17">
        <v>949</v>
      </c>
      <c r="N59" s="17">
        <v>470</v>
      </c>
      <c r="O59" s="18">
        <v>918.67</v>
      </c>
      <c r="P59" s="18">
        <v>949.38</v>
      </c>
      <c r="Q59" s="18">
        <v>469.59</v>
      </c>
      <c r="R59" s="18"/>
      <c r="S59" s="18"/>
      <c r="T59" s="18"/>
      <c r="U59" s="17">
        <v>918.67</v>
      </c>
      <c r="V59" s="17">
        <v>949.38</v>
      </c>
      <c r="W59" s="17"/>
      <c r="Y59" s="30">
        <f t="shared" si="1"/>
        <v>-3.5908596300326945E-4</v>
      </c>
      <c r="Z59" s="30">
        <f t="shared" si="2"/>
        <v>4.0042149631180912E-4</v>
      </c>
      <c r="AA59" s="30">
        <f t="shared" si="3"/>
        <v>-8.7234042553197E-4</v>
      </c>
      <c r="AB59" s="30"/>
      <c r="AC59" s="30"/>
      <c r="AD59" s="30"/>
      <c r="AE59" s="30">
        <f t="shared" si="6"/>
        <v>-3.5908596300326945E-4</v>
      </c>
      <c r="AF59" s="30">
        <f t="shared" si="7"/>
        <v>4.0042149631180912E-4</v>
      </c>
      <c r="AG59" s="30"/>
    </row>
    <row r="60" spans="1:46" x14ac:dyDescent="0.25">
      <c r="A60" s="8" t="s">
        <v>103</v>
      </c>
      <c r="B60" s="9" t="s">
        <v>23</v>
      </c>
      <c r="C60" s="9" t="s">
        <v>24</v>
      </c>
      <c r="D60" s="8" t="s">
        <v>282</v>
      </c>
      <c r="E60" s="8" t="s">
        <v>283</v>
      </c>
      <c r="F60" s="8" t="s">
        <v>283</v>
      </c>
      <c r="G60" s="8" t="s">
        <v>284</v>
      </c>
      <c r="H60" s="8">
        <v>2007001725</v>
      </c>
      <c r="I60" s="8" t="s">
        <v>89</v>
      </c>
      <c r="J60" s="12">
        <v>108</v>
      </c>
      <c r="K60" s="2" t="s">
        <v>238</v>
      </c>
      <c r="L60" s="31">
        <v>870</v>
      </c>
      <c r="M60" s="31">
        <v>953</v>
      </c>
      <c r="N60" s="31">
        <v>454</v>
      </c>
      <c r="O60" s="18">
        <v>869.72</v>
      </c>
      <c r="P60" s="18">
        <v>953.32</v>
      </c>
      <c r="Q60" s="18">
        <v>453.59</v>
      </c>
      <c r="R60" s="18"/>
      <c r="S60" s="18"/>
      <c r="T60" s="18"/>
      <c r="U60" s="17">
        <v>869.72</v>
      </c>
      <c r="V60" s="17">
        <v>953.32</v>
      </c>
      <c r="W60" s="17"/>
      <c r="Y60" s="30">
        <f t="shared" si="1"/>
        <v>-3.218390804596849E-4</v>
      </c>
      <c r="Z60" s="30">
        <f t="shared" si="2"/>
        <v>3.357817418678799E-4</v>
      </c>
      <c r="AA60" s="30">
        <f t="shared" si="3"/>
        <v>-9.0308370044056563E-4</v>
      </c>
      <c r="AB60" s="30"/>
      <c r="AC60" s="30"/>
      <c r="AD60" s="30"/>
      <c r="AE60" s="30">
        <f t="shared" si="6"/>
        <v>-3.218390804596849E-4</v>
      </c>
      <c r="AF60" s="30">
        <f t="shared" si="7"/>
        <v>3.357817418678799E-4</v>
      </c>
      <c r="AG60" s="30"/>
    </row>
    <row r="61" spans="1:46" x14ac:dyDescent="0.25">
      <c r="A61" s="8" t="s">
        <v>103</v>
      </c>
      <c r="B61" s="9" t="s">
        <v>23</v>
      </c>
      <c r="C61" s="9" t="s">
        <v>24</v>
      </c>
      <c r="D61" s="8" t="s">
        <v>282</v>
      </c>
      <c r="E61" s="8" t="s">
        <v>283</v>
      </c>
      <c r="F61" s="8" t="s">
        <v>283</v>
      </c>
      <c r="G61" s="8" t="s">
        <v>284</v>
      </c>
      <c r="H61" s="8">
        <v>2007001725</v>
      </c>
      <c r="I61" s="8" t="s">
        <v>89</v>
      </c>
      <c r="J61" s="12">
        <v>108</v>
      </c>
      <c r="K61" s="2" t="s">
        <v>239</v>
      </c>
      <c r="L61" s="17">
        <v>366</v>
      </c>
      <c r="M61" s="17">
        <v>304</v>
      </c>
      <c r="N61" s="17">
        <v>125</v>
      </c>
      <c r="O61" s="18"/>
      <c r="P61" s="18"/>
      <c r="Q61" s="18"/>
      <c r="R61" s="18"/>
      <c r="S61" s="18"/>
      <c r="T61" s="18"/>
      <c r="U61" s="17"/>
      <c r="V61" s="17"/>
      <c r="W61" s="17"/>
      <c r="Y61" s="30"/>
      <c r="Z61" s="30"/>
      <c r="AA61" s="30"/>
      <c r="AB61" s="30"/>
      <c r="AC61" s="30"/>
      <c r="AD61" s="30"/>
      <c r="AE61" s="30"/>
      <c r="AF61" s="30"/>
      <c r="AG61" s="30"/>
    </row>
    <row r="62" spans="1:46" x14ac:dyDescent="0.25">
      <c r="A62" s="8" t="s">
        <v>103</v>
      </c>
      <c r="B62" s="9" t="s">
        <v>23</v>
      </c>
      <c r="C62" s="9" t="s">
        <v>24</v>
      </c>
      <c r="D62" s="8" t="s">
        <v>282</v>
      </c>
      <c r="E62" s="8" t="s">
        <v>283</v>
      </c>
      <c r="F62" s="8" t="s">
        <v>283</v>
      </c>
      <c r="G62" s="8" t="s">
        <v>284</v>
      </c>
      <c r="H62" s="8">
        <v>2007001725</v>
      </c>
      <c r="I62" s="8" t="s">
        <v>89</v>
      </c>
      <c r="J62" s="12">
        <v>108</v>
      </c>
      <c r="K62" s="2" t="s">
        <v>240</v>
      </c>
      <c r="L62" s="33">
        <v>2019990</v>
      </c>
      <c r="M62" s="33">
        <v>1928640</v>
      </c>
      <c r="N62" s="33">
        <v>799255</v>
      </c>
      <c r="O62" s="18">
        <v>2019989.9373999999</v>
      </c>
      <c r="P62" s="18">
        <v>1928640.121</v>
      </c>
      <c r="Q62" s="18">
        <v>799255</v>
      </c>
      <c r="R62" s="18">
        <v>2019989.9373769655</v>
      </c>
      <c r="S62" s="18">
        <v>1928640.1218964036</v>
      </c>
      <c r="T62" s="18">
        <v>799255.17417456</v>
      </c>
      <c r="U62" s="17"/>
      <c r="V62" s="17"/>
      <c r="W62" s="17"/>
      <c r="Y62" s="30">
        <f t="shared" si="1"/>
        <v>-3.099025247532694E-8</v>
      </c>
      <c r="Z62" s="30">
        <f t="shared" si="2"/>
        <v>6.2738510164805916E-8</v>
      </c>
      <c r="AA62" s="30">
        <f t="shared" si="3"/>
        <v>0</v>
      </c>
      <c r="AB62" s="30">
        <f t="shared" si="4"/>
        <v>-3.1001655687035168E-8</v>
      </c>
      <c r="AC62" s="30">
        <f t="shared" si="5"/>
        <v>6.3203295486147226E-8</v>
      </c>
      <c r="AD62" s="30">
        <f t="shared" si="8"/>
        <v>2.1792113913399191E-7</v>
      </c>
      <c r="AE62" s="30"/>
      <c r="AF62" s="30"/>
      <c r="AG62" s="30"/>
    </row>
    <row r="63" spans="1:46" x14ac:dyDescent="0.25">
      <c r="A63" s="8" t="s">
        <v>104</v>
      </c>
      <c r="B63" s="9" t="s">
        <v>409</v>
      </c>
      <c r="C63" s="9" t="s">
        <v>26</v>
      </c>
      <c r="D63" s="8" t="s">
        <v>285</v>
      </c>
      <c r="E63" s="8" t="s">
        <v>286</v>
      </c>
      <c r="F63" s="8" t="s">
        <v>286</v>
      </c>
      <c r="G63" s="8" t="s">
        <v>259</v>
      </c>
      <c r="H63" s="8">
        <v>2007001746</v>
      </c>
      <c r="I63" s="8" t="s">
        <v>89</v>
      </c>
      <c r="J63" s="12">
        <v>980</v>
      </c>
      <c r="K63" s="2" t="s">
        <v>237</v>
      </c>
      <c r="L63" s="17">
        <v>2271</v>
      </c>
      <c r="M63" s="17">
        <v>2037</v>
      </c>
      <c r="N63" s="17">
        <v>2147</v>
      </c>
      <c r="O63" s="18">
        <v>2281.59</v>
      </c>
      <c r="P63" s="18">
        <v>2037.42</v>
      </c>
      <c r="Q63" s="18">
        <v>2151.9929999999999</v>
      </c>
      <c r="R63" s="18"/>
      <c r="S63" s="18"/>
      <c r="T63" s="18"/>
      <c r="U63" s="17">
        <v>2281.59</v>
      </c>
      <c r="V63" s="17">
        <v>2037.41</v>
      </c>
      <c r="W63" s="17"/>
      <c r="Y63" s="30">
        <f t="shared" si="1"/>
        <v>4.663143989432017E-3</v>
      </c>
      <c r="Z63" s="30">
        <f t="shared" si="2"/>
        <v>2.0618556701035295E-4</v>
      </c>
      <c r="AA63" s="30">
        <f t="shared" si="3"/>
        <v>2.3255705635769619E-3</v>
      </c>
      <c r="AB63" s="30"/>
      <c r="AC63" s="30"/>
      <c r="AD63" s="30"/>
      <c r="AE63" s="30">
        <f t="shared" si="6"/>
        <v>4.663143989432017E-3</v>
      </c>
      <c r="AF63" s="30">
        <f t="shared" si="7"/>
        <v>2.0127638684352966E-4</v>
      </c>
      <c r="AG63" s="30"/>
    </row>
    <row r="64" spans="1:46" x14ac:dyDescent="0.25">
      <c r="A64" s="8" t="s">
        <v>104</v>
      </c>
      <c r="B64" s="9" t="s">
        <v>25</v>
      </c>
      <c r="C64" s="9" t="s">
        <v>26</v>
      </c>
      <c r="D64" s="8" t="s">
        <v>285</v>
      </c>
      <c r="E64" s="8" t="s">
        <v>286</v>
      </c>
      <c r="F64" s="8" t="s">
        <v>286</v>
      </c>
      <c r="G64" s="8" t="s">
        <v>259</v>
      </c>
      <c r="H64" s="8">
        <v>2007001746</v>
      </c>
      <c r="I64" s="8" t="s">
        <v>89</v>
      </c>
      <c r="J64" s="12">
        <v>980</v>
      </c>
      <c r="K64" s="2" t="s">
        <v>238</v>
      </c>
      <c r="L64" s="47">
        <v>1765</v>
      </c>
      <c r="M64" s="47">
        <v>1400</v>
      </c>
      <c r="N64" s="47">
        <v>1794</v>
      </c>
      <c r="O64" s="18">
        <v>1774</v>
      </c>
      <c r="P64" s="18">
        <v>1400.2270000000001</v>
      </c>
      <c r="Q64" s="18">
        <v>1797.97</v>
      </c>
      <c r="R64" s="18"/>
      <c r="S64" s="18"/>
      <c r="T64" s="18"/>
      <c r="U64" s="17">
        <v>1774.09</v>
      </c>
      <c r="V64" s="17">
        <v>1400.22</v>
      </c>
      <c r="W64" s="17"/>
      <c r="Y64" s="30">
        <f t="shared" si="1"/>
        <v>5.0991501416430829E-3</v>
      </c>
      <c r="Z64" s="30">
        <f t="shared" si="2"/>
        <v>1.6214285714299947E-4</v>
      </c>
      <c r="AA64" s="30">
        <f t="shared" si="3"/>
        <v>2.2129319955406235E-3</v>
      </c>
      <c r="AB64" s="30"/>
      <c r="AC64" s="30"/>
      <c r="AD64" s="30"/>
      <c r="AE64" s="30">
        <f t="shared" si="6"/>
        <v>5.1501416430594915E-3</v>
      </c>
      <c r="AF64" s="30">
        <f t="shared" si="7"/>
        <v>1.5714285714296672E-4</v>
      </c>
      <c r="AG64" s="30"/>
    </row>
    <row r="65" spans="1:53" x14ac:dyDescent="0.25">
      <c r="A65" s="8" t="s">
        <v>104</v>
      </c>
      <c r="B65" s="9" t="s">
        <v>25</v>
      </c>
      <c r="C65" s="9" t="s">
        <v>26</v>
      </c>
      <c r="D65" s="8" t="s">
        <v>285</v>
      </c>
      <c r="E65" s="8" t="s">
        <v>286</v>
      </c>
      <c r="F65" s="8" t="s">
        <v>286</v>
      </c>
      <c r="G65" s="8" t="s">
        <v>259</v>
      </c>
      <c r="H65" s="8">
        <v>2007001746</v>
      </c>
      <c r="I65" s="8" t="s">
        <v>89</v>
      </c>
      <c r="J65" s="12">
        <v>980</v>
      </c>
      <c r="K65" s="2" t="s">
        <v>239</v>
      </c>
      <c r="L65" s="31">
        <v>0</v>
      </c>
      <c r="M65" s="31">
        <v>0</v>
      </c>
      <c r="N65" s="31">
        <v>0</v>
      </c>
      <c r="O65" s="18"/>
      <c r="P65" s="18"/>
      <c r="Q65" s="18"/>
      <c r="R65" s="18"/>
      <c r="S65" s="18"/>
      <c r="T65" s="18"/>
      <c r="U65" s="17"/>
      <c r="V65" s="17"/>
      <c r="W65" s="17"/>
      <c r="Y65" s="30"/>
      <c r="Z65" s="30"/>
      <c r="AA65" s="30"/>
      <c r="AB65" s="30"/>
      <c r="AC65" s="30"/>
      <c r="AD65" s="30"/>
      <c r="AE65" s="30"/>
      <c r="AF65" s="30"/>
      <c r="AG65" s="30"/>
    </row>
    <row r="66" spans="1:53" x14ac:dyDescent="0.25">
      <c r="A66" s="8" t="s">
        <v>104</v>
      </c>
      <c r="B66" s="9" t="s">
        <v>25</v>
      </c>
      <c r="C66" s="9" t="s">
        <v>26</v>
      </c>
      <c r="D66" s="8" t="s">
        <v>285</v>
      </c>
      <c r="E66" s="8" t="s">
        <v>286</v>
      </c>
      <c r="F66" s="8" t="s">
        <v>286</v>
      </c>
      <c r="G66" s="8" t="s">
        <v>259</v>
      </c>
      <c r="H66" s="8">
        <v>2007001746</v>
      </c>
      <c r="I66" s="8" t="s">
        <v>89</v>
      </c>
      <c r="J66" s="12">
        <v>980</v>
      </c>
      <c r="K66" s="2" t="s">
        <v>240</v>
      </c>
      <c r="L66" s="33">
        <v>3514000</v>
      </c>
      <c r="M66" s="33">
        <v>3160000</v>
      </c>
      <c r="N66" s="33">
        <v>3318000</v>
      </c>
      <c r="O66" s="18">
        <v>3513929</v>
      </c>
      <c r="P66" s="18">
        <v>3159654</v>
      </c>
      <c r="Q66" s="18">
        <v>3318055</v>
      </c>
      <c r="R66" s="18">
        <v>3513929.0187299601</v>
      </c>
      <c r="S66" s="18">
        <v>3159654.4497542293</v>
      </c>
      <c r="T66" s="18">
        <v>3318054.6963868998</v>
      </c>
      <c r="U66" s="17"/>
      <c r="V66" s="17"/>
      <c r="W66" s="17"/>
      <c r="Y66" s="30">
        <f t="shared" si="1"/>
        <v>-2.0204894706887799E-5</v>
      </c>
      <c r="Z66" s="30">
        <f t="shared" si="2"/>
        <v>-1.0949367088608497E-4</v>
      </c>
      <c r="AA66" s="30">
        <f t="shared" si="3"/>
        <v>1.6576250753574939E-5</v>
      </c>
      <c r="AB66" s="30">
        <f t="shared" si="4"/>
        <v>-2.0199564610079435E-5</v>
      </c>
      <c r="AC66" s="30">
        <f t="shared" si="5"/>
        <v>-1.0935134359835175E-4</v>
      </c>
      <c r="AD66" s="30">
        <f t="shared" si="8"/>
        <v>1.6484745900990916E-5</v>
      </c>
      <c r="AE66" s="30"/>
      <c r="AF66" s="30"/>
      <c r="AG66" s="30"/>
    </row>
    <row r="67" spans="1:53" x14ac:dyDescent="0.25">
      <c r="A67" s="8" t="s">
        <v>105</v>
      </c>
      <c r="B67" s="9" t="s">
        <v>410</v>
      </c>
      <c r="C67" s="9" t="s">
        <v>28</v>
      </c>
      <c r="D67" s="8" t="s">
        <v>287</v>
      </c>
      <c r="E67" s="8" t="s">
        <v>288</v>
      </c>
      <c r="F67" s="8" t="s">
        <v>288</v>
      </c>
      <c r="G67" s="8" t="s">
        <v>236</v>
      </c>
      <c r="H67" s="8">
        <v>2007001701</v>
      </c>
      <c r="I67" s="8" t="s">
        <v>89</v>
      </c>
      <c r="J67" s="12">
        <v>551</v>
      </c>
      <c r="K67" s="2" t="s">
        <v>237</v>
      </c>
      <c r="L67" s="17">
        <v>105.2</v>
      </c>
      <c r="M67" s="17">
        <v>87</v>
      </c>
      <c r="N67" s="17">
        <v>247.4</v>
      </c>
      <c r="O67" s="18">
        <v>116.575</v>
      </c>
      <c r="P67" s="18"/>
      <c r="Q67" s="18">
        <v>259.642</v>
      </c>
      <c r="R67" s="18"/>
      <c r="S67" s="18"/>
      <c r="T67" s="18"/>
      <c r="U67" s="17">
        <v>116.57</v>
      </c>
      <c r="V67" s="17">
        <v>95.46</v>
      </c>
      <c r="W67" s="17"/>
      <c r="Y67" s="39">
        <f t="shared" si="1"/>
        <v>0.10812737642585546</v>
      </c>
      <c r="Z67" s="30"/>
      <c r="AA67" s="30">
        <f t="shared" si="3"/>
        <v>4.9482619240097003E-2</v>
      </c>
      <c r="AB67" s="30"/>
      <c r="AC67" s="30"/>
      <c r="AD67" s="30"/>
      <c r="AE67" s="39">
        <f t="shared" si="6"/>
        <v>0.10807984790874525</v>
      </c>
      <c r="AF67" s="39">
        <f t="shared" si="7"/>
        <v>9.7241379310344822E-2</v>
      </c>
      <c r="AG67" s="30"/>
    </row>
    <row r="68" spans="1:53" x14ac:dyDescent="0.25">
      <c r="A68" s="8" t="s">
        <v>105</v>
      </c>
      <c r="B68" s="9" t="s">
        <v>27</v>
      </c>
      <c r="C68" s="9" t="s">
        <v>28</v>
      </c>
      <c r="D68" s="8" t="s">
        <v>287</v>
      </c>
      <c r="E68" s="8" t="s">
        <v>288</v>
      </c>
      <c r="F68" s="8" t="s">
        <v>288</v>
      </c>
      <c r="G68" s="8" t="s">
        <v>236</v>
      </c>
      <c r="H68" s="8">
        <v>2007001701</v>
      </c>
      <c r="I68" s="8" t="s">
        <v>89</v>
      </c>
      <c r="J68" s="12">
        <v>551</v>
      </c>
      <c r="K68" s="2" t="s">
        <v>238</v>
      </c>
      <c r="L68" s="31">
        <v>0</v>
      </c>
      <c r="M68" s="31">
        <v>0</v>
      </c>
      <c r="N68" s="31">
        <v>0</v>
      </c>
      <c r="O68" s="18"/>
      <c r="P68" s="18"/>
      <c r="Q68" s="18"/>
      <c r="R68" s="18"/>
      <c r="S68" s="18"/>
      <c r="T68" s="18"/>
      <c r="U68" s="17">
        <v>0</v>
      </c>
      <c r="V68" s="17">
        <v>0</v>
      </c>
      <c r="W68" s="17"/>
      <c r="Y68" s="30"/>
      <c r="Z68" s="30"/>
      <c r="AA68" s="30"/>
      <c r="AB68" s="30"/>
      <c r="AC68" s="30"/>
      <c r="AD68" s="30"/>
      <c r="AE68" s="30"/>
      <c r="AF68" s="30"/>
      <c r="AG68" s="30"/>
    </row>
    <row r="69" spans="1:53" x14ac:dyDescent="0.25">
      <c r="A69" s="8" t="s">
        <v>105</v>
      </c>
      <c r="B69" s="9" t="s">
        <v>27</v>
      </c>
      <c r="C69" s="9" t="s">
        <v>28</v>
      </c>
      <c r="D69" s="8" t="s">
        <v>287</v>
      </c>
      <c r="E69" s="8" t="s">
        <v>288</v>
      </c>
      <c r="F69" s="8" t="s">
        <v>288</v>
      </c>
      <c r="G69" s="8" t="s">
        <v>236</v>
      </c>
      <c r="H69" s="8">
        <v>2007001701</v>
      </c>
      <c r="I69" s="8" t="s">
        <v>89</v>
      </c>
      <c r="J69" s="12">
        <v>551</v>
      </c>
      <c r="K69" s="2" t="s">
        <v>239</v>
      </c>
      <c r="L69" s="17">
        <v>21.7</v>
      </c>
      <c r="M69" s="17">
        <v>12.7</v>
      </c>
      <c r="N69" s="17">
        <v>42.7</v>
      </c>
      <c r="O69" s="18">
        <v>549.76700000000005</v>
      </c>
      <c r="P69" s="18">
        <v>506.96199999999999</v>
      </c>
      <c r="Q69" s="18">
        <v>590.05899999999997</v>
      </c>
      <c r="R69" s="18"/>
      <c r="S69" s="18"/>
      <c r="T69" s="18"/>
      <c r="U69" s="17"/>
      <c r="V69" s="17"/>
      <c r="W69" s="17"/>
      <c r="Y69" s="39">
        <f t="shared" ref="Y69:Z130" si="9">(O69/L69)-1</f>
        <v>24.334884792626731</v>
      </c>
      <c r="Z69" s="39">
        <f t="shared" si="9"/>
        <v>38.918267716535432</v>
      </c>
      <c r="AA69" s="39">
        <f t="shared" si="3"/>
        <v>12.818711943793909</v>
      </c>
      <c r="AB69" s="30"/>
      <c r="AC69" s="30"/>
      <c r="AD69" s="30"/>
      <c r="AE69" s="30"/>
      <c r="AF69" s="30"/>
      <c r="AG69" s="30"/>
      <c r="AH69" s="1" t="s">
        <v>390</v>
      </c>
    </row>
    <row r="70" spans="1:53" x14ac:dyDescent="0.25">
      <c r="A70" s="8" t="s">
        <v>105</v>
      </c>
      <c r="B70" s="9" t="s">
        <v>27</v>
      </c>
      <c r="C70" s="9" t="s">
        <v>28</v>
      </c>
      <c r="D70" s="8" t="s">
        <v>287</v>
      </c>
      <c r="E70" s="8" t="s">
        <v>288</v>
      </c>
      <c r="F70" s="8" t="s">
        <v>288</v>
      </c>
      <c r="G70" s="8" t="s">
        <v>236</v>
      </c>
      <c r="H70" s="8">
        <v>2007001701</v>
      </c>
      <c r="I70" s="8" t="s">
        <v>89</v>
      </c>
      <c r="J70" s="12">
        <v>551</v>
      </c>
      <c r="K70" s="2" t="s">
        <v>240</v>
      </c>
      <c r="L70" s="33">
        <v>410688</v>
      </c>
      <c r="M70" s="33">
        <v>348863</v>
      </c>
      <c r="N70" s="33">
        <v>879052</v>
      </c>
      <c r="O70" s="18">
        <v>410688</v>
      </c>
      <c r="P70" s="18">
        <v>348868</v>
      </c>
      <c r="Q70" s="18">
        <v>879052</v>
      </c>
      <c r="R70" s="18">
        <v>410687.69428100943</v>
      </c>
      <c r="S70" s="18">
        <v>348867.7198803302</v>
      </c>
      <c r="T70" s="18">
        <v>879052.00326114462</v>
      </c>
      <c r="U70" s="17"/>
      <c r="V70" s="17"/>
      <c r="W70" s="17"/>
      <c r="Y70" s="30">
        <f t="shared" si="9"/>
        <v>0</v>
      </c>
      <c r="Z70" s="30">
        <f t="shared" si="9"/>
        <v>1.4332273700512488E-5</v>
      </c>
      <c r="AA70" s="30">
        <f t="shared" si="3"/>
        <v>0</v>
      </c>
      <c r="AB70" s="30">
        <f t="shared" si="4"/>
        <v>-7.4440692343635817E-7</v>
      </c>
      <c r="AC70" s="30">
        <f t="shared" si="5"/>
        <v>1.3529323345196076E-5</v>
      </c>
      <c r="AD70" s="30">
        <f t="shared" si="8"/>
        <v>3.7098426552972796E-9</v>
      </c>
      <c r="AE70" s="30"/>
      <c r="AF70" s="30"/>
      <c r="AG70" s="30"/>
    </row>
    <row r="71" spans="1:53" x14ac:dyDescent="0.25">
      <c r="A71" s="8" t="s">
        <v>106</v>
      </c>
      <c r="B71" s="9" t="s">
        <v>411</v>
      </c>
      <c r="C71" s="9" t="s">
        <v>29</v>
      </c>
      <c r="D71" s="8" t="s">
        <v>289</v>
      </c>
      <c r="E71" s="8" t="s">
        <v>290</v>
      </c>
      <c r="F71" s="8" t="s">
        <v>262</v>
      </c>
      <c r="G71" s="8" t="s">
        <v>244</v>
      </c>
      <c r="H71" s="8">
        <v>2007001072</v>
      </c>
      <c r="I71" s="8" t="s">
        <v>89</v>
      </c>
      <c r="J71" s="12">
        <v>245</v>
      </c>
      <c r="K71" s="2" t="s">
        <v>237</v>
      </c>
      <c r="L71" s="31">
        <v>152.69999999999999</v>
      </c>
      <c r="M71" s="31">
        <v>89.8</v>
      </c>
      <c r="N71" s="31">
        <v>132.80000000000001</v>
      </c>
      <c r="O71" s="18">
        <v>166.21700000000001</v>
      </c>
      <c r="P71" s="18"/>
      <c r="Q71" s="18">
        <v>202.399</v>
      </c>
      <c r="R71" s="18"/>
      <c r="S71" s="18"/>
      <c r="T71" s="18"/>
      <c r="U71" s="17">
        <v>166.21799999999999</v>
      </c>
      <c r="V71" s="17">
        <v>99.886499999999998</v>
      </c>
      <c r="W71" s="17"/>
      <c r="Y71" s="39">
        <f t="shared" si="9"/>
        <v>8.851997380484633E-2</v>
      </c>
      <c r="Z71" s="30"/>
      <c r="AA71" s="39">
        <f t="shared" ref="AA71:AA130" si="10">(Q71/N71)-1</f>
        <v>0.52408885542168671</v>
      </c>
      <c r="AB71" s="30"/>
      <c r="AC71" s="30"/>
      <c r="AD71" s="30"/>
      <c r="AE71" s="39">
        <f t="shared" ref="AE71:AE131" si="11">(U71/L71)-1</f>
        <v>8.8526522593320278E-2</v>
      </c>
      <c r="AF71" s="39">
        <f t="shared" ref="AF71:AF131" si="12">(V71/M71)-1</f>
        <v>0.11232182628062359</v>
      </c>
      <c r="AG71" s="30"/>
    </row>
    <row r="72" spans="1:53" x14ac:dyDescent="0.25">
      <c r="A72" s="8" t="s">
        <v>106</v>
      </c>
      <c r="B72" s="9" t="s">
        <v>4</v>
      </c>
      <c r="C72" s="9" t="s">
        <v>29</v>
      </c>
      <c r="D72" s="8" t="s">
        <v>289</v>
      </c>
      <c r="E72" s="8" t="s">
        <v>290</v>
      </c>
      <c r="F72" s="8" t="s">
        <v>262</v>
      </c>
      <c r="G72" s="8" t="s">
        <v>244</v>
      </c>
      <c r="H72" s="8">
        <v>2007001072</v>
      </c>
      <c r="I72" s="8" t="s">
        <v>89</v>
      </c>
      <c r="J72" s="12">
        <v>245</v>
      </c>
      <c r="K72" s="2" t="s">
        <v>238</v>
      </c>
      <c r="L72" s="31">
        <v>0</v>
      </c>
      <c r="M72" s="31">
        <v>0</v>
      </c>
      <c r="N72" s="31">
        <v>0</v>
      </c>
      <c r="O72" s="18"/>
      <c r="P72" s="18"/>
      <c r="Q72" s="18"/>
      <c r="R72" s="18"/>
      <c r="S72" s="18"/>
      <c r="T72" s="18"/>
      <c r="U72" s="17">
        <v>0</v>
      </c>
      <c r="V72" s="17">
        <v>0</v>
      </c>
      <c r="W72" s="17"/>
      <c r="Y72" s="30"/>
      <c r="Z72" s="30"/>
      <c r="AA72" s="30"/>
      <c r="AB72" s="30"/>
      <c r="AC72" s="30"/>
      <c r="AD72" s="30"/>
      <c r="AE72" s="30"/>
      <c r="AF72" s="30"/>
      <c r="AG72" s="30"/>
    </row>
    <row r="73" spans="1:53" x14ac:dyDescent="0.25">
      <c r="A73" s="8" t="s">
        <v>106</v>
      </c>
      <c r="B73" s="9" t="s">
        <v>4</v>
      </c>
      <c r="C73" s="9" t="s">
        <v>29</v>
      </c>
      <c r="D73" s="8" t="s">
        <v>289</v>
      </c>
      <c r="E73" s="8" t="s">
        <v>290</v>
      </c>
      <c r="F73" s="8" t="s">
        <v>262</v>
      </c>
      <c r="G73" s="8" t="s">
        <v>244</v>
      </c>
      <c r="H73" s="8">
        <v>2007001072</v>
      </c>
      <c r="I73" s="8" t="s">
        <v>89</v>
      </c>
      <c r="J73" s="12">
        <v>245</v>
      </c>
      <c r="K73" s="2" t="s">
        <v>239</v>
      </c>
      <c r="L73" s="31">
        <v>31.9</v>
      </c>
      <c r="M73" s="31">
        <v>28.6</v>
      </c>
      <c r="N73" s="31">
        <v>23.9</v>
      </c>
      <c r="O73" s="18"/>
      <c r="P73" s="18"/>
      <c r="Q73" s="18"/>
      <c r="R73" s="18"/>
      <c r="S73" s="18"/>
      <c r="T73" s="18"/>
      <c r="U73" s="17"/>
      <c r="V73" s="17"/>
      <c r="W73" s="17"/>
      <c r="Y73" s="30"/>
      <c r="Z73" s="30"/>
      <c r="AA73" s="30"/>
      <c r="AB73" s="30"/>
      <c r="AC73" s="30"/>
      <c r="AD73" s="30"/>
      <c r="AE73" s="30"/>
      <c r="AF73" s="30"/>
      <c r="AG73" s="30"/>
      <c r="AW73" s="1" t="s">
        <v>181</v>
      </c>
      <c r="AX73" s="1">
        <v>7</v>
      </c>
      <c r="AY73" s="7">
        <f>AX73/$AX$77</f>
        <v>0.14285714285714285</v>
      </c>
    </row>
    <row r="74" spans="1:53" ht="45" x14ac:dyDescent="0.25">
      <c r="A74" s="8" t="s">
        <v>106</v>
      </c>
      <c r="B74" s="9" t="s">
        <v>4</v>
      </c>
      <c r="C74" s="9" t="s">
        <v>29</v>
      </c>
      <c r="D74" s="8" t="s">
        <v>289</v>
      </c>
      <c r="E74" s="8" t="s">
        <v>290</v>
      </c>
      <c r="F74" s="8" t="s">
        <v>262</v>
      </c>
      <c r="G74" s="8" t="s">
        <v>244</v>
      </c>
      <c r="H74" s="8">
        <v>2007001072</v>
      </c>
      <c r="I74" s="8" t="s">
        <v>89</v>
      </c>
      <c r="J74" s="12">
        <v>245</v>
      </c>
      <c r="K74" s="2" t="s">
        <v>240</v>
      </c>
      <c r="L74" s="31">
        <v>0</v>
      </c>
      <c r="M74" s="31">
        <v>0</v>
      </c>
      <c r="N74" s="31">
        <v>400517</v>
      </c>
      <c r="O74" s="18">
        <v>456206</v>
      </c>
      <c r="P74" s="18">
        <v>304497</v>
      </c>
      <c r="Q74" s="18">
        <v>400517</v>
      </c>
      <c r="R74" s="18">
        <v>456206.43753483758</v>
      </c>
      <c r="S74" s="18">
        <v>304497.15608987852</v>
      </c>
      <c r="T74" s="18">
        <v>400517.28916649381</v>
      </c>
      <c r="U74" s="17"/>
      <c r="V74" s="17"/>
      <c r="W74" s="17"/>
      <c r="Y74" s="30"/>
      <c r="Z74" s="30"/>
      <c r="AA74" s="30">
        <f t="shared" si="10"/>
        <v>0</v>
      </c>
      <c r="AB74" s="30"/>
      <c r="AC74" s="30"/>
      <c r="AD74" s="30">
        <f t="shared" ref="AD74:AD130" si="13">(T74/N74)-1</f>
        <v>7.2198307132786965E-7</v>
      </c>
      <c r="AE74" s="30"/>
      <c r="AF74" s="30"/>
      <c r="AG74" s="30"/>
      <c r="AH74" s="1" t="s">
        <v>387</v>
      </c>
      <c r="AW74" s="6" t="s">
        <v>463</v>
      </c>
      <c r="AX74" s="1">
        <v>25</v>
      </c>
      <c r="AY74" s="7">
        <f t="shared" ref="AY74" si="14">AX74/$AX$77</f>
        <v>0.51020408163265307</v>
      </c>
    </row>
    <row r="75" spans="1:53" x14ac:dyDescent="0.25">
      <c r="A75" s="8" t="s">
        <v>107</v>
      </c>
      <c r="B75" s="8" t="s">
        <v>412</v>
      </c>
      <c r="C75" s="8" t="s">
        <v>31</v>
      </c>
      <c r="D75" s="8" t="s">
        <v>291</v>
      </c>
      <c r="E75" s="8" t="s">
        <v>31</v>
      </c>
      <c r="F75" s="8" t="s">
        <v>292</v>
      </c>
      <c r="G75" s="8" t="s">
        <v>244</v>
      </c>
      <c r="H75" s="8">
        <v>2007001510</v>
      </c>
      <c r="I75" s="8" t="s">
        <v>89</v>
      </c>
      <c r="J75" s="12">
        <v>225</v>
      </c>
      <c r="K75" s="2" t="s">
        <v>237</v>
      </c>
      <c r="L75" s="31">
        <v>145.92099999999999</v>
      </c>
      <c r="M75" s="31">
        <v>186.893</v>
      </c>
      <c r="N75" s="31">
        <v>205.4</v>
      </c>
      <c r="O75" s="18">
        <v>145.6</v>
      </c>
      <c r="P75" s="18">
        <v>186.17789999999999</v>
      </c>
      <c r="Q75" s="18">
        <v>204.73099999999999</v>
      </c>
      <c r="R75" s="18"/>
      <c r="S75" s="18"/>
      <c r="T75" s="18"/>
      <c r="U75" s="17">
        <v>145.96699999999998</v>
      </c>
      <c r="V75" s="17">
        <v>186.892</v>
      </c>
      <c r="W75" s="17"/>
      <c r="Y75" s="30">
        <f t="shared" si="9"/>
        <v>-2.1998204507918118E-3</v>
      </c>
      <c r="Z75" s="30">
        <f t="shared" si="9"/>
        <v>-3.8262535247441942E-3</v>
      </c>
      <c r="AA75" s="30">
        <f t="shared" si="10"/>
        <v>-3.2570593962999439E-3</v>
      </c>
      <c r="AB75" s="30"/>
      <c r="AC75" s="30"/>
      <c r="AD75" s="30"/>
      <c r="AE75" s="30">
        <f t="shared" si="11"/>
        <v>3.1523906771457888E-4</v>
      </c>
      <c r="AF75" s="30">
        <f t="shared" si="12"/>
        <v>-5.3506551878079733E-6</v>
      </c>
      <c r="AG75" s="30"/>
      <c r="AW75" s="1" t="s">
        <v>182</v>
      </c>
      <c r="AX75" s="1">
        <v>17</v>
      </c>
      <c r="AY75" s="7">
        <f>AX75/$AX$77</f>
        <v>0.34693877551020408</v>
      </c>
      <c r="AZ75" s="1">
        <v>15</v>
      </c>
      <c r="BA75" s="1" t="s">
        <v>464</v>
      </c>
    </row>
    <row r="76" spans="1:53" x14ac:dyDescent="0.25">
      <c r="A76" s="8" t="s">
        <v>107</v>
      </c>
      <c r="B76" s="8" t="s">
        <v>30</v>
      </c>
      <c r="C76" s="8" t="s">
        <v>31</v>
      </c>
      <c r="D76" s="8" t="s">
        <v>291</v>
      </c>
      <c r="E76" s="8" t="s">
        <v>31</v>
      </c>
      <c r="F76" s="8" t="s">
        <v>292</v>
      </c>
      <c r="G76" s="8" t="s">
        <v>244</v>
      </c>
      <c r="H76" s="8">
        <v>2007001510</v>
      </c>
      <c r="I76" s="8" t="s">
        <v>89</v>
      </c>
      <c r="J76" s="12">
        <v>225</v>
      </c>
      <c r="K76" s="2" t="s">
        <v>238</v>
      </c>
      <c r="L76" s="31">
        <v>0</v>
      </c>
      <c r="M76" s="31">
        <v>0</v>
      </c>
      <c r="N76" s="31">
        <v>0</v>
      </c>
      <c r="O76" s="18"/>
      <c r="P76" s="18"/>
      <c r="Q76" s="18"/>
      <c r="R76" s="18"/>
      <c r="S76" s="18"/>
      <c r="T76" s="18"/>
      <c r="U76" s="17">
        <v>3</v>
      </c>
      <c r="V76" s="17">
        <v>3.5</v>
      </c>
      <c r="W76" s="17"/>
      <c r="Y76" s="30"/>
      <c r="Z76" s="30"/>
      <c r="AA76" s="30"/>
      <c r="AB76" s="30"/>
      <c r="AC76" s="30"/>
      <c r="AD76" s="30"/>
      <c r="AE76" s="30"/>
      <c r="AF76" s="30"/>
      <c r="AG76" s="30"/>
      <c r="AZ76" s="1">
        <v>2</v>
      </c>
      <c r="BA76" s="1" t="s">
        <v>465</v>
      </c>
    </row>
    <row r="77" spans="1:53" x14ac:dyDescent="0.25">
      <c r="A77" s="8" t="s">
        <v>107</v>
      </c>
      <c r="B77" s="8" t="s">
        <v>30</v>
      </c>
      <c r="C77" s="8" t="s">
        <v>31</v>
      </c>
      <c r="D77" s="8" t="s">
        <v>291</v>
      </c>
      <c r="E77" s="8" t="s">
        <v>31</v>
      </c>
      <c r="F77" s="8" t="s">
        <v>292</v>
      </c>
      <c r="G77" s="8" t="s">
        <v>244</v>
      </c>
      <c r="H77" s="8">
        <v>2007001510</v>
      </c>
      <c r="I77" s="8" t="s">
        <v>89</v>
      </c>
      <c r="J77" s="12">
        <v>225</v>
      </c>
      <c r="K77" s="2" t="s">
        <v>239</v>
      </c>
      <c r="L77" s="31">
        <v>103.51300000000001</v>
      </c>
      <c r="M77" s="31">
        <v>144.65600000000001</v>
      </c>
      <c r="N77" s="31">
        <v>176.761</v>
      </c>
      <c r="O77" s="18"/>
      <c r="P77" s="18"/>
      <c r="Q77" s="18"/>
      <c r="R77" s="18"/>
      <c r="S77" s="18"/>
      <c r="T77" s="18"/>
      <c r="U77" s="17"/>
      <c r="V77" s="17"/>
      <c r="W77" s="17"/>
      <c r="Y77" s="30"/>
      <c r="Z77" s="30"/>
      <c r="AA77" s="30"/>
      <c r="AB77" s="30"/>
      <c r="AC77" s="30"/>
      <c r="AD77" s="30"/>
      <c r="AE77" s="30"/>
      <c r="AF77" s="30"/>
      <c r="AG77" s="30"/>
      <c r="AW77" s="1" t="s">
        <v>466</v>
      </c>
      <c r="AX77" s="1">
        <v>49</v>
      </c>
    </row>
    <row r="78" spans="1:53" x14ac:dyDescent="0.25">
      <c r="A78" s="8" t="s">
        <v>107</v>
      </c>
      <c r="B78" s="8" t="s">
        <v>30</v>
      </c>
      <c r="C78" s="8" t="s">
        <v>31</v>
      </c>
      <c r="D78" s="8" t="s">
        <v>291</v>
      </c>
      <c r="E78" s="8" t="s">
        <v>31</v>
      </c>
      <c r="F78" s="8" t="s">
        <v>292</v>
      </c>
      <c r="G78" s="8" t="s">
        <v>244</v>
      </c>
      <c r="H78" s="8">
        <v>2007001510</v>
      </c>
      <c r="I78" s="8" t="s">
        <v>89</v>
      </c>
      <c r="J78" s="12">
        <v>225</v>
      </c>
      <c r="K78" s="2" t="s">
        <v>240</v>
      </c>
      <c r="L78" s="31">
        <v>691452</v>
      </c>
      <c r="M78" s="31">
        <v>802791</v>
      </c>
      <c r="N78" s="31">
        <v>778304</v>
      </c>
      <c r="O78" s="18">
        <v>689798.66359999997</v>
      </c>
      <c r="P78" s="18">
        <v>800383.90780000004</v>
      </c>
      <c r="Q78" s="18">
        <v>775964.88</v>
      </c>
      <c r="R78" s="18">
        <v>691452.114921915</v>
      </c>
      <c r="S78" s="18">
        <v>802790.57404921099</v>
      </c>
      <c r="T78" s="18">
        <v>778304.43840923323</v>
      </c>
      <c r="U78" s="17"/>
      <c r="V78" s="17"/>
      <c r="W78" s="17"/>
      <c r="Y78" s="30">
        <f t="shared" si="9"/>
        <v>-2.3911079872500629E-3</v>
      </c>
      <c r="Z78" s="30">
        <f t="shared" si="9"/>
        <v>-2.9984045660700342E-3</v>
      </c>
      <c r="AA78" s="30">
        <f t="shared" si="10"/>
        <v>-3.0054066277444003E-3</v>
      </c>
      <c r="AB78" s="30">
        <f t="shared" ref="AB78:AB130" si="15">(R78/L78)-1</f>
        <v>1.6620374942988292E-7</v>
      </c>
      <c r="AC78" s="30">
        <f t="shared" ref="AC78:AC130" si="16">(S78/M78)-1</f>
        <v>-5.3058739946099109E-7</v>
      </c>
      <c r="AD78" s="30">
        <f t="shared" si="13"/>
        <v>5.6328790964954578E-7</v>
      </c>
      <c r="AE78" s="30"/>
      <c r="AF78" s="30"/>
      <c r="AG78" s="30"/>
    </row>
    <row r="79" spans="1:53" x14ac:dyDescent="0.25">
      <c r="A79" s="8" t="s">
        <v>108</v>
      </c>
      <c r="B79" s="9" t="s">
        <v>413</v>
      </c>
      <c r="C79" s="9" t="s">
        <v>32</v>
      </c>
      <c r="D79" s="8" t="s">
        <v>293</v>
      </c>
      <c r="E79" s="8" t="s">
        <v>294</v>
      </c>
      <c r="F79" s="8" t="s">
        <v>275</v>
      </c>
      <c r="G79" s="8" t="s">
        <v>276</v>
      </c>
      <c r="H79" s="8">
        <v>2007001859</v>
      </c>
      <c r="I79" s="8" t="s">
        <v>89</v>
      </c>
      <c r="J79" s="12">
        <v>15</v>
      </c>
      <c r="K79" s="2" t="s">
        <v>237</v>
      </c>
      <c r="L79" s="31">
        <v>265</v>
      </c>
      <c r="M79" s="31">
        <v>305</v>
      </c>
      <c r="N79" s="31">
        <v>315</v>
      </c>
      <c r="O79" s="18">
        <v>265.14</v>
      </c>
      <c r="P79" s="18">
        <v>305.10000000000002</v>
      </c>
      <c r="Q79" s="18">
        <v>314.58</v>
      </c>
      <c r="R79" s="18"/>
      <c r="S79" s="18"/>
      <c r="T79" s="18"/>
      <c r="U79" s="17">
        <v>265.10000000000002</v>
      </c>
      <c r="V79" s="17">
        <v>305.10000000000002</v>
      </c>
      <c r="W79" s="17"/>
      <c r="Y79" s="30">
        <f t="shared" si="9"/>
        <v>5.2830188679231505E-4</v>
      </c>
      <c r="Z79" s="30">
        <f t="shared" si="9"/>
        <v>3.2786885245905673E-4</v>
      </c>
      <c r="AA79" s="30">
        <f t="shared" si="10"/>
        <v>-1.3333333333334085E-3</v>
      </c>
      <c r="AB79" s="30"/>
      <c r="AC79" s="30"/>
      <c r="AD79" s="30"/>
      <c r="AE79" s="30">
        <f t="shared" si="11"/>
        <v>3.7735849056619308E-4</v>
      </c>
      <c r="AF79" s="30">
        <f t="shared" si="12"/>
        <v>3.2786885245905673E-4</v>
      </c>
      <c r="AG79" s="30"/>
    </row>
    <row r="80" spans="1:53" x14ac:dyDescent="0.25">
      <c r="A80" s="8" t="s">
        <v>108</v>
      </c>
      <c r="B80" s="9" t="s">
        <v>12</v>
      </c>
      <c r="C80" s="9" t="s">
        <v>32</v>
      </c>
      <c r="D80" s="8" t="s">
        <v>293</v>
      </c>
      <c r="E80" s="8" t="s">
        <v>294</v>
      </c>
      <c r="F80" s="8" t="s">
        <v>275</v>
      </c>
      <c r="G80" s="8" t="s">
        <v>276</v>
      </c>
      <c r="H80" s="8">
        <v>2007001859</v>
      </c>
      <c r="I80" s="8" t="s">
        <v>89</v>
      </c>
      <c r="J80" s="12">
        <v>15</v>
      </c>
      <c r="K80" s="2" t="s">
        <v>238</v>
      </c>
      <c r="L80" s="31">
        <v>0</v>
      </c>
      <c r="M80" s="31">
        <v>0</v>
      </c>
      <c r="N80" s="31">
        <v>0</v>
      </c>
      <c r="O80" s="18"/>
      <c r="P80" s="18"/>
      <c r="Q80" s="18"/>
      <c r="R80" s="18"/>
      <c r="S80" s="18"/>
      <c r="T80" s="18"/>
      <c r="U80" s="17">
        <v>0</v>
      </c>
      <c r="V80" s="17">
        <v>0</v>
      </c>
      <c r="W80" s="17"/>
      <c r="Y80" s="30"/>
      <c r="Z80" s="30"/>
      <c r="AA80" s="30"/>
      <c r="AB80" s="30"/>
      <c r="AC80" s="30"/>
      <c r="AD80" s="30"/>
      <c r="AE80" s="30"/>
      <c r="AF80" s="30"/>
      <c r="AG80" s="30"/>
    </row>
    <row r="81" spans="1:33" x14ac:dyDescent="0.25">
      <c r="A81" s="8" t="s">
        <v>108</v>
      </c>
      <c r="B81" s="9" t="s">
        <v>12</v>
      </c>
      <c r="C81" s="9" t="s">
        <v>32</v>
      </c>
      <c r="D81" s="8" t="s">
        <v>293</v>
      </c>
      <c r="E81" s="8" t="s">
        <v>294</v>
      </c>
      <c r="F81" s="8" t="s">
        <v>275</v>
      </c>
      <c r="G81" s="8" t="s">
        <v>276</v>
      </c>
      <c r="H81" s="8">
        <v>2007001859</v>
      </c>
      <c r="I81" s="8" t="s">
        <v>89</v>
      </c>
      <c r="J81" s="12">
        <v>15</v>
      </c>
      <c r="K81" s="2" t="s">
        <v>239</v>
      </c>
      <c r="L81" s="31">
        <v>724</v>
      </c>
      <c r="M81" s="31">
        <v>2055</v>
      </c>
      <c r="N81" s="31">
        <v>2282</v>
      </c>
      <c r="O81" s="18"/>
      <c r="P81" s="18"/>
      <c r="Q81" s="18"/>
      <c r="R81" s="18"/>
      <c r="S81" s="18"/>
      <c r="T81" s="18"/>
      <c r="U81" s="17"/>
      <c r="V81" s="17"/>
      <c r="W81" s="17"/>
      <c r="Y81" s="30"/>
      <c r="Z81" s="30"/>
      <c r="AA81" s="30"/>
      <c r="AB81" s="30"/>
      <c r="AC81" s="30"/>
      <c r="AD81" s="30"/>
      <c r="AE81" s="30"/>
      <c r="AF81" s="30"/>
      <c r="AG81" s="30"/>
    </row>
    <row r="82" spans="1:33" x14ac:dyDescent="0.25">
      <c r="A82" s="8" t="s">
        <v>108</v>
      </c>
      <c r="B82" s="9" t="s">
        <v>12</v>
      </c>
      <c r="C82" s="9" t="s">
        <v>32</v>
      </c>
      <c r="D82" s="8" t="s">
        <v>293</v>
      </c>
      <c r="E82" s="8" t="s">
        <v>294</v>
      </c>
      <c r="F82" s="8" t="s">
        <v>275</v>
      </c>
      <c r="G82" s="8" t="s">
        <v>276</v>
      </c>
      <c r="H82" s="8">
        <v>2007001859</v>
      </c>
      <c r="I82" s="8" t="s">
        <v>89</v>
      </c>
      <c r="J82" s="12">
        <v>15</v>
      </c>
      <c r="K82" s="2" t="s">
        <v>240</v>
      </c>
      <c r="L82" s="31">
        <v>1460227</v>
      </c>
      <c r="M82" s="31">
        <v>1370271</v>
      </c>
      <c r="N82" s="31">
        <v>1424955</v>
      </c>
      <c r="O82" s="18">
        <v>1460227</v>
      </c>
      <c r="P82" s="18">
        <v>1370271</v>
      </c>
      <c r="Q82" s="18">
        <v>1424955</v>
      </c>
      <c r="R82" s="18">
        <v>1460227.4475789252</v>
      </c>
      <c r="S82" s="18">
        <v>1370270.909742943</v>
      </c>
      <c r="T82" s="18">
        <v>1424954.659728382</v>
      </c>
      <c r="U82" s="17"/>
      <c r="V82" s="17"/>
      <c r="W82" s="17"/>
      <c r="Y82" s="30">
        <f t="shared" si="9"/>
        <v>0</v>
      </c>
      <c r="Z82" s="30">
        <f t="shared" si="9"/>
        <v>0</v>
      </c>
      <c r="AA82" s="30">
        <f t="shared" si="10"/>
        <v>0</v>
      </c>
      <c r="AB82" s="30">
        <f t="shared" si="15"/>
        <v>3.0651325122477147E-7</v>
      </c>
      <c r="AC82" s="30">
        <f t="shared" si="16"/>
        <v>-6.5868034138105713E-8</v>
      </c>
      <c r="AD82" s="30">
        <f t="shared" si="13"/>
        <v>-2.387946411719355E-7</v>
      </c>
      <c r="AE82" s="30"/>
      <c r="AF82" s="30"/>
      <c r="AG82" s="30"/>
    </row>
    <row r="83" spans="1:33" x14ac:dyDescent="0.25">
      <c r="A83" s="9" t="s">
        <v>109</v>
      </c>
      <c r="B83" s="9" t="s">
        <v>414</v>
      </c>
      <c r="C83" s="9" t="s">
        <v>34</v>
      </c>
      <c r="D83" s="9" t="s">
        <v>295</v>
      </c>
      <c r="E83" s="9" t="s">
        <v>296</v>
      </c>
      <c r="F83" s="9" t="s">
        <v>297</v>
      </c>
      <c r="G83" s="9" t="s">
        <v>298</v>
      </c>
      <c r="H83" s="9">
        <v>2007000610</v>
      </c>
      <c r="I83" s="9" t="s">
        <v>89</v>
      </c>
      <c r="J83" s="14">
        <v>1256</v>
      </c>
      <c r="K83" s="2" t="s">
        <v>237</v>
      </c>
      <c r="L83" s="31">
        <v>158.70699999999999</v>
      </c>
      <c r="M83" s="31">
        <v>125.114</v>
      </c>
      <c r="N83" s="31">
        <v>85.783000000000001</v>
      </c>
      <c r="O83" s="18">
        <v>174.55510000000001</v>
      </c>
      <c r="P83" s="18">
        <v>125.114</v>
      </c>
      <c r="Q83" s="18"/>
      <c r="R83" s="18"/>
      <c r="S83" s="18"/>
      <c r="T83" s="18"/>
      <c r="U83" s="17">
        <v>175</v>
      </c>
      <c r="V83" s="17">
        <v>140</v>
      </c>
      <c r="W83" s="17"/>
      <c r="Y83" s="39">
        <f t="shared" si="9"/>
        <v>9.9857599223726945E-2</v>
      </c>
      <c r="Z83" s="30">
        <f t="shared" si="9"/>
        <v>0</v>
      </c>
      <c r="AA83" s="30"/>
      <c r="AB83" s="30"/>
      <c r="AC83" s="30"/>
      <c r="AD83" s="30"/>
      <c r="AE83" s="39">
        <f t="shared" si="11"/>
        <v>0.10266087822213255</v>
      </c>
      <c r="AF83" s="39">
        <f t="shared" si="12"/>
        <v>0.11897949070447744</v>
      </c>
      <c r="AG83" s="30"/>
    </row>
    <row r="84" spans="1:33" x14ac:dyDescent="0.25">
      <c r="A84" s="9" t="s">
        <v>109</v>
      </c>
      <c r="B84" s="9" t="s">
        <v>33</v>
      </c>
      <c r="C84" s="9" t="s">
        <v>34</v>
      </c>
      <c r="D84" s="9" t="s">
        <v>295</v>
      </c>
      <c r="E84" s="9" t="s">
        <v>296</v>
      </c>
      <c r="F84" s="9" t="s">
        <v>297</v>
      </c>
      <c r="G84" s="9" t="s">
        <v>298</v>
      </c>
      <c r="H84" s="9">
        <v>2007000610</v>
      </c>
      <c r="I84" s="9" t="s">
        <v>89</v>
      </c>
      <c r="J84" s="14">
        <v>1256</v>
      </c>
      <c r="K84" s="2" t="s">
        <v>238</v>
      </c>
      <c r="L84" s="31">
        <v>0</v>
      </c>
      <c r="M84" s="31">
        <v>0</v>
      </c>
      <c r="N84" s="31">
        <v>0</v>
      </c>
      <c r="O84" s="18"/>
      <c r="P84" s="18"/>
      <c r="Q84" s="18"/>
      <c r="R84" s="18"/>
      <c r="S84" s="18"/>
      <c r="T84" s="18"/>
      <c r="U84" s="17">
        <v>0</v>
      </c>
      <c r="V84" s="17">
        <v>0</v>
      </c>
      <c r="W84" s="17"/>
      <c r="Y84" s="30"/>
      <c r="Z84" s="30"/>
      <c r="AA84" s="30"/>
      <c r="AB84" s="30"/>
      <c r="AC84" s="30"/>
      <c r="AD84" s="30"/>
      <c r="AE84" s="30"/>
      <c r="AF84" s="30"/>
      <c r="AG84" s="30"/>
    </row>
    <row r="85" spans="1:33" x14ac:dyDescent="0.25">
      <c r="A85" s="9" t="s">
        <v>109</v>
      </c>
      <c r="B85" s="9" t="s">
        <v>33</v>
      </c>
      <c r="C85" s="9" t="s">
        <v>34</v>
      </c>
      <c r="D85" s="9" t="s">
        <v>295</v>
      </c>
      <c r="E85" s="9" t="s">
        <v>296</v>
      </c>
      <c r="F85" s="9" t="s">
        <v>297</v>
      </c>
      <c r="G85" s="9" t="s">
        <v>298</v>
      </c>
      <c r="H85" s="9">
        <v>2007000610</v>
      </c>
      <c r="I85" s="9" t="s">
        <v>89</v>
      </c>
      <c r="J85" s="14">
        <v>1256</v>
      </c>
      <c r="K85" s="2" t="s">
        <v>239</v>
      </c>
      <c r="L85" s="31">
        <v>23.99</v>
      </c>
      <c r="M85" s="31">
        <v>19.440999999999999</v>
      </c>
      <c r="N85" s="31">
        <v>107.736</v>
      </c>
      <c r="O85" s="18"/>
      <c r="P85" s="18"/>
      <c r="Q85" s="18"/>
      <c r="R85" s="18"/>
      <c r="S85" s="18"/>
      <c r="T85" s="18"/>
      <c r="U85" s="17"/>
      <c r="V85" s="17"/>
      <c r="W85" s="17"/>
      <c r="Y85" s="30"/>
      <c r="Z85" s="30"/>
      <c r="AA85" s="30"/>
      <c r="AB85" s="30"/>
      <c r="AC85" s="30"/>
      <c r="AD85" s="30"/>
      <c r="AE85" s="30"/>
      <c r="AF85" s="30"/>
      <c r="AG85" s="30"/>
    </row>
    <row r="86" spans="1:33" x14ac:dyDescent="0.25">
      <c r="A86" s="9" t="s">
        <v>109</v>
      </c>
      <c r="B86" s="9" t="s">
        <v>33</v>
      </c>
      <c r="C86" s="9" t="s">
        <v>34</v>
      </c>
      <c r="D86" s="9" t="s">
        <v>295</v>
      </c>
      <c r="E86" s="9" t="s">
        <v>296</v>
      </c>
      <c r="F86" s="9" t="s">
        <v>297</v>
      </c>
      <c r="G86" s="9" t="s">
        <v>298</v>
      </c>
      <c r="H86" s="9">
        <v>2007000610</v>
      </c>
      <c r="I86" s="9" t="s">
        <v>89</v>
      </c>
      <c r="J86" s="14">
        <v>1256</v>
      </c>
      <c r="K86" s="2" t="s">
        <v>240</v>
      </c>
      <c r="L86" s="31">
        <v>602604</v>
      </c>
      <c r="M86" s="31">
        <v>499361</v>
      </c>
      <c r="N86" s="31">
        <v>749727</v>
      </c>
      <c r="O86" s="18">
        <v>602601.98979999998</v>
      </c>
      <c r="P86" s="18">
        <v>499360.65220000001</v>
      </c>
      <c r="Q86" s="18">
        <v>749730.25190000003</v>
      </c>
      <c r="R86" s="18">
        <v>602603.90818856761</v>
      </c>
      <c r="S86" s="18">
        <v>499362.33657040558</v>
      </c>
      <c r="T86" s="18">
        <v>749730.23163167096</v>
      </c>
      <c r="U86" s="17"/>
      <c r="V86" s="17"/>
      <c r="W86" s="17"/>
      <c r="Y86" s="30">
        <f t="shared" si="9"/>
        <v>-3.3358557195439786E-6</v>
      </c>
      <c r="Z86" s="30">
        <f t="shared" si="9"/>
        <v>-6.9649011436023756E-7</v>
      </c>
      <c r="AA86" s="30">
        <f t="shared" si="10"/>
        <v>4.3374454967715081E-6</v>
      </c>
      <c r="AB86" s="30">
        <f t="shared" si="15"/>
        <v>-1.5235782102607232E-7</v>
      </c>
      <c r="AC86" s="30">
        <f t="shared" si="16"/>
        <v>2.6765614566937046E-6</v>
      </c>
      <c r="AD86" s="30">
        <f t="shared" si="13"/>
        <v>4.3104112177339005E-6</v>
      </c>
      <c r="AE86" s="30"/>
      <c r="AF86" s="30"/>
      <c r="AG86" s="30"/>
    </row>
    <row r="87" spans="1:33" x14ac:dyDescent="0.25">
      <c r="A87" s="9" t="s">
        <v>110</v>
      </c>
      <c r="B87" s="9" t="s">
        <v>415</v>
      </c>
      <c r="C87" s="9" t="s">
        <v>36</v>
      </c>
      <c r="D87" s="9" t="s">
        <v>299</v>
      </c>
      <c r="E87" s="9" t="s">
        <v>300</v>
      </c>
      <c r="F87" s="9" t="s">
        <v>301</v>
      </c>
      <c r="G87" s="9" t="s">
        <v>302</v>
      </c>
      <c r="H87" s="9">
        <v>2007000094</v>
      </c>
      <c r="I87" s="9" t="s">
        <v>89</v>
      </c>
      <c r="J87" s="14">
        <v>630</v>
      </c>
      <c r="K87" s="2" t="s">
        <v>237</v>
      </c>
      <c r="L87" s="31">
        <v>180.41</v>
      </c>
      <c r="M87" s="31">
        <v>149.79</v>
      </c>
      <c r="N87" s="31">
        <v>268.26</v>
      </c>
      <c r="O87" s="18">
        <v>184.06780000000001</v>
      </c>
      <c r="P87" s="18">
        <v>154.1748</v>
      </c>
      <c r="Q87" s="18">
        <v>271.08980000000003</v>
      </c>
      <c r="R87" s="18"/>
      <c r="S87" s="18"/>
      <c r="T87" s="18"/>
      <c r="U87" s="17">
        <v>184.06137855625099</v>
      </c>
      <c r="V87" s="17">
        <v>154.16999999999999</v>
      </c>
      <c r="W87" s="17"/>
      <c r="Y87" s="30">
        <f t="shared" si="9"/>
        <v>2.0274929327642743E-2</v>
      </c>
      <c r="Z87" s="30">
        <f t="shared" si="9"/>
        <v>2.9272982175045259E-2</v>
      </c>
      <c r="AA87" s="30">
        <f t="shared" si="10"/>
        <v>1.0548721389696647E-2</v>
      </c>
      <c r="AB87" s="30"/>
      <c r="AC87" s="30"/>
      <c r="AD87" s="30"/>
      <c r="AE87" s="30">
        <f t="shared" si="11"/>
        <v>2.0239335714489215E-2</v>
      </c>
      <c r="AF87" s="30">
        <f t="shared" si="12"/>
        <v>2.9240937312237092E-2</v>
      </c>
      <c r="AG87" s="30"/>
    </row>
    <row r="88" spans="1:33" x14ac:dyDescent="0.25">
      <c r="A88" s="9" t="s">
        <v>110</v>
      </c>
      <c r="B88" s="9" t="s">
        <v>35</v>
      </c>
      <c r="C88" s="9" t="s">
        <v>36</v>
      </c>
      <c r="D88" s="9" t="s">
        <v>299</v>
      </c>
      <c r="E88" s="9" t="s">
        <v>300</v>
      </c>
      <c r="F88" s="9" t="s">
        <v>301</v>
      </c>
      <c r="G88" s="9" t="s">
        <v>302</v>
      </c>
      <c r="H88" s="9">
        <v>2007000094</v>
      </c>
      <c r="I88" s="9" t="s">
        <v>89</v>
      </c>
      <c r="J88" s="14">
        <v>630</v>
      </c>
      <c r="K88" s="2" t="s">
        <v>238</v>
      </c>
      <c r="L88" s="31">
        <v>0</v>
      </c>
      <c r="M88" s="31">
        <v>0</v>
      </c>
      <c r="N88" s="31">
        <v>0</v>
      </c>
      <c r="O88" s="18"/>
      <c r="P88" s="18"/>
      <c r="Q88" s="18"/>
      <c r="R88" s="18"/>
      <c r="S88" s="18"/>
      <c r="T88" s="18"/>
      <c r="U88" s="17">
        <v>0</v>
      </c>
      <c r="V88" s="17">
        <v>0</v>
      </c>
      <c r="W88" s="17"/>
      <c r="Y88" s="30"/>
      <c r="Z88" s="30"/>
      <c r="AA88" s="30"/>
      <c r="AB88" s="30"/>
      <c r="AC88" s="30"/>
      <c r="AD88" s="30"/>
      <c r="AE88" s="30"/>
      <c r="AF88" s="30"/>
      <c r="AG88" s="30"/>
    </row>
    <row r="89" spans="1:33" x14ac:dyDescent="0.25">
      <c r="A89" s="9" t="s">
        <v>110</v>
      </c>
      <c r="B89" s="9" t="s">
        <v>35</v>
      </c>
      <c r="C89" s="9" t="s">
        <v>36</v>
      </c>
      <c r="D89" s="9" t="s">
        <v>299</v>
      </c>
      <c r="E89" s="9" t="s">
        <v>300</v>
      </c>
      <c r="F89" s="9" t="s">
        <v>301</v>
      </c>
      <c r="G89" s="9" t="s">
        <v>302</v>
      </c>
      <c r="H89" s="9">
        <v>2007000094</v>
      </c>
      <c r="I89" s="9" t="s">
        <v>89</v>
      </c>
      <c r="J89" s="14">
        <v>630</v>
      </c>
      <c r="K89" s="2" t="s">
        <v>239</v>
      </c>
      <c r="L89" s="31">
        <v>27.5</v>
      </c>
      <c r="M89" s="31">
        <v>25.6</v>
      </c>
      <c r="N89" s="31">
        <v>57.5</v>
      </c>
      <c r="O89" s="18"/>
      <c r="P89" s="18"/>
      <c r="Q89" s="18"/>
      <c r="R89" s="18"/>
      <c r="S89" s="18"/>
      <c r="T89" s="18"/>
      <c r="U89" s="17"/>
      <c r="V89" s="17"/>
      <c r="W89" s="17"/>
      <c r="Y89" s="30"/>
      <c r="Z89" s="30"/>
      <c r="AA89" s="30"/>
      <c r="AB89" s="30"/>
      <c r="AC89" s="30"/>
      <c r="AD89" s="30"/>
      <c r="AE89" s="30"/>
      <c r="AF89" s="30"/>
      <c r="AG89" s="30"/>
    </row>
    <row r="90" spans="1:33" x14ac:dyDescent="0.25">
      <c r="A90" s="9" t="s">
        <v>110</v>
      </c>
      <c r="B90" s="9" t="s">
        <v>35</v>
      </c>
      <c r="C90" s="9" t="s">
        <v>36</v>
      </c>
      <c r="D90" s="9" t="s">
        <v>299</v>
      </c>
      <c r="E90" s="9" t="s">
        <v>300</v>
      </c>
      <c r="F90" s="9" t="s">
        <v>301</v>
      </c>
      <c r="G90" s="9" t="s">
        <v>302</v>
      </c>
      <c r="H90" s="9">
        <v>2007000094</v>
      </c>
      <c r="I90" s="9" t="s">
        <v>89</v>
      </c>
      <c r="J90" s="14">
        <v>630</v>
      </c>
      <c r="K90" s="2" t="s">
        <v>240</v>
      </c>
      <c r="L90" s="31">
        <v>655251</v>
      </c>
      <c r="M90" s="31">
        <v>551016</v>
      </c>
      <c r="N90" s="31">
        <v>712913</v>
      </c>
      <c r="O90" s="18">
        <v>655250.69209999999</v>
      </c>
      <c r="P90" s="18">
        <v>551016.10459999996</v>
      </c>
      <c r="Q90" s="18">
        <v>712903.17559999996</v>
      </c>
      <c r="R90" s="18">
        <v>655250.69270750973</v>
      </c>
      <c r="S90" s="18">
        <v>551016.10524162918</v>
      </c>
      <c r="T90" s="18">
        <v>712903.17601047258</v>
      </c>
      <c r="U90" s="17"/>
      <c r="V90" s="17"/>
      <c r="W90" s="17"/>
      <c r="Y90" s="30">
        <f t="shared" si="9"/>
        <v>-4.6989626878435331E-7</v>
      </c>
      <c r="Z90" s="30">
        <f t="shared" si="9"/>
        <v>1.8983114813408974E-7</v>
      </c>
      <c r="AA90" s="30">
        <f t="shared" si="10"/>
        <v>-1.3780643640992629E-5</v>
      </c>
      <c r="AB90" s="30">
        <f t="shared" si="15"/>
        <v>-4.6896912830884929E-7</v>
      </c>
      <c r="AC90" s="30">
        <f t="shared" si="16"/>
        <v>1.9099559578350522E-7</v>
      </c>
      <c r="AD90" s="30">
        <f t="shared" si="13"/>
        <v>-1.3780067872781743E-5</v>
      </c>
      <c r="AE90" s="30"/>
      <c r="AF90" s="30"/>
      <c r="AG90" s="30"/>
    </row>
    <row r="91" spans="1:33" x14ac:dyDescent="0.25">
      <c r="A91" s="9" t="s">
        <v>111</v>
      </c>
      <c r="B91" s="9" t="s">
        <v>416</v>
      </c>
      <c r="C91" s="9" t="s">
        <v>38</v>
      </c>
      <c r="D91" s="9" t="s">
        <v>38</v>
      </c>
      <c r="E91" s="9" t="s">
        <v>303</v>
      </c>
      <c r="F91" s="9" t="s">
        <v>304</v>
      </c>
      <c r="G91" s="9" t="s">
        <v>305</v>
      </c>
      <c r="H91" s="9">
        <v>2010000030</v>
      </c>
      <c r="I91" s="9" t="s">
        <v>89</v>
      </c>
      <c r="J91" s="14">
        <v>1540</v>
      </c>
      <c r="K91" s="2" t="s">
        <v>237</v>
      </c>
      <c r="L91" s="31">
        <v>89.873000000000005</v>
      </c>
      <c r="M91" s="31">
        <v>90.406999999999996</v>
      </c>
      <c r="N91" s="31">
        <v>78.653000000000006</v>
      </c>
      <c r="O91" s="18"/>
      <c r="P91" s="18"/>
      <c r="Q91" s="18"/>
      <c r="R91" s="18"/>
      <c r="S91" s="18"/>
      <c r="T91" s="18"/>
      <c r="U91" s="17">
        <v>89.747</v>
      </c>
      <c r="V91" s="17">
        <v>90.031999999999996</v>
      </c>
      <c r="W91" s="17"/>
      <c r="Y91" s="30"/>
      <c r="Z91" s="30"/>
      <c r="AA91" s="30"/>
      <c r="AB91" s="30"/>
      <c r="AC91" s="30"/>
      <c r="AD91" s="30"/>
      <c r="AE91" s="30">
        <f t="shared" si="11"/>
        <v>-1.4019783472233316E-3</v>
      </c>
      <c r="AF91" s="30">
        <f t="shared" si="12"/>
        <v>-4.1479089008594761E-3</v>
      </c>
      <c r="AG91" s="30"/>
    </row>
    <row r="92" spans="1:33" x14ac:dyDescent="0.25">
      <c r="A92" s="9" t="s">
        <v>111</v>
      </c>
      <c r="B92" s="9" t="s">
        <v>37</v>
      </c>
      <c r="C92" s="9" t="s">
        <v>38</v>
      </c>
      <c r="D92" s="9" t="s">
        <v>38</v>
      </c>
      <c r="E92" s="9" t="s">
        <v>303</v>
      </c>
      <c r="F92" s="9" t="s">
        <v>304</v>
      </c>
      <c r="G92" s="9" t="s">
        <v>305</v>
      </c>
      <c r="H92" s="9">
        <v>2010000030</v>
      </c>
      <c r="I92" s="9" t="s">
        <v>89</v>
      </c>
      <c r="J92" s="14">
        <v>1540</v>
      </c>
      <c r="K92" s="2" t="s">
        <v>238</v>
      </c>
      <c r="L92" s="31">
        <v>0</v>
      </c>
      <c r="M92" s="31">
        <v>0</v>
      </c>
      <c r="N92" s="31">
        <v>0</v>
      </c>
      <c r="O92" s="18"/>
      <c r="P92" s="18"/>
      <c r="Q92" s="18"/>
      <c r="R92" s="18"/>
      <c r="S92" s="18"/>
      <c r="T92" s="18"/>
      <c r="U92" s="17">
        <v>3.1911999999999998</v>
      </c>
      <c r="V92" s="17">
        <v>0.148680561203024</v>
      </c>
      <c r="W92" s="17"/>
      <c r="Y92" s="30"/>
      <c r="Z92" s="30"/>
      <c r="AA92" s="30"/>
      <c r="AB92" s="30"/>
      <c r="AC92" s="30"/>
      <c r="AD92" s="30"/>
      <c r="AE92" s="30"/>
      <c r="AF92" s="30"/>
      <c r="AG92" s="30"/>
    </row>
    <row r="93" spans="1:33" x14ac:dyDescent="0.25">
      <c r="A93" s="9" t="s">
        <v>111</v>
      </c>
      <c r="B93" s="9" t="s">
        <v>37</v>
      </c>
      <c r="C93" s="9" t="s">
        <v>38</v>
      </c>
      <c r="D93" s="9" t="s">
        <v>38</v>
      </c>
      <c r="E93" s="9" t="s">
        <v>303</v>
      </c>
      <c r="F93" s="9" t="s">
        <v>304</v>
      </c>
      <c r="G93" s="9" t="s">
        <v>305</v>
      </c>
      <c r="H93" s="9">
        <v>2010000030</v>
      </c>
      <c r="I93" s="9" t="s">
        <v>89</v>
      </c>
      <c r="J93" s="14">
        <v>1540</v>
      </c>
      <c r="K93" s="2" t="s">
        <v>239</v>
      </c>
      <c r="L93" s="31">
        <v>44.322000000000003</v>
      </c>
      <c r="M93" s="31">
        <v>46.258000000000003</v>
      </c>
      <c r="N93" s="31">
        <v>41.128999999999998</v>
      </c>
      <c r="O93" s="18"/>
      <c r="P93" s="18"/>
      <c r="Q93" s="18"/>
      <c r="R93" s="18"/>
      <c r="S93" s="18"/>
      <c r="T93" s="18"/>
      <c r="U93" s="17"/>
      <c r="V93" s="17"/>
      <c r="W93" s="17"/>
      <c r="Y93" s="30"/>
      <c r="Z93" s="30"/>
      <c r="AA93" s="30"/>
      <c r="AB93" s="30"/>
      <c r="AC93" s="30"/>
      <c r="AD93" s="30"/>
      <c r="AE93" s="30"/>
      <c r="AF93" s="30"/>
      <c r="AG93" s="30"/>
    </row>
    <row r="94" spans="1:33" x14ac:dyDescent="0.25">
      <c r="A94" s="9" t="s">
        <v>111</v>
      </c>
      <c r="B94" s="9" t="s">
        <v>37</v>
      </c>
      <c r="C94" s="9" t="s">
        <v>38</v>
      </c>
      <c r="D94" s="9" t="s">
        <v>38</v>
      </c>
      <c r="E94" s="9" t="s">
        <v>303</v>
      </c>
      <c r="F94" s="9" t="s">
        <v>304</v>
      </c>
      <c r="G94" s="9" t="s">
        <v>305</v>
      </c>
      <c r="H94" s="9">
        <v>2010000030</v>
      </c>
      <c r="I94" s="9" t="s">
        <v>89</v>
      </c>
      <c r="J94" s="14">
        <v>1540</v>
      </c>
      <c r="K94" s="2" t="s">
        <v>240</v>
      </c>
      <c r="L94" s="31">
        <v>199335</v>
      </c>
      <c r="M94" s="31">
        <v>193251</v>
      </c>
      <c r="N94" s="31">
        <v>181287</v>
      </c>
      <c r="O94" s="18">
        <v>199334</v>
      </c>
      <c r="P94" s="18">
        <v>193286.39999999999</v>
      </c>
      <c r="Q94" s="18">
        <v>181287</v>
      </c>
      <c r="R94" s="18">
        <v>199334.39491</v>
      </c>
      <c r="S94" s="18">
        <v>193250.71880999999</v>
      </c>
      <c r="T94" s="18">
        <v>181286.41263000001</v>
      </c>
      <c r="U94" s="17"/>
      <c r="V94" s="17"/>
      <c r="W94" s="17"/>
      <c r="Y94" s="30">
        <f t="shared" si="9"/>
        <v>-5.0166804624884875E-6</v>
      </c>
      <c r="Z94" s="30">
        <f t="shared" si="9"/>
        <v>1.8318145831064392E-4</v>
      </c>
      <c r="AA94" s="30">
        <f t="shared" si="10"/>
        <v>0</v>
      </c>
      <c r="AB94" s="30">
        <f t="shared" si="15"/>
        <v>-3.0355431810402678E-6</v>
      </c>
      <c r="AC94" s="30">
        <f t="shared" si="16"/>
        <v>-1.4550506853838741E-6</v>
      </c>
      <c r="AD94" s="30">
        <f t="shared" si="13"/>
        <v>-3.2400006618749089E-6</v>
      </c>
      <c r="AE94" s="30"/>
      <c r="AF94" s="30"/>
      <c r="AG94" s="30"/>
    </row>
    <row r="95" spans="1:33" x14ac:dyDescent="0.25">
      <c r="A95" s="10" t="s">
        <v>112</v>
      </c>
      <c r="B95" s="10" t="s">
        <v>417</v>
      </c>
      <c r="C95" s="10" t="s">
        <v>40</v>
      </c>
      <c r="D95" s="10" t="s">
        <v>306</v>
      </c>
      <c r="E95" s="10" t="s">
        <v>307</v>
      </c>
      <c r="F95" s="10" t="s">
        <v>308</v>
      </c>
      <c r="G95" s="10" t="s">
        <v>244</v>
      </c>
      <c r="H95" s="19">
        <v>2007001965</v>
      </c>
      <c r="I95" s="10"/>
      <c r="J95" s="15">
        <v>121</v>
      </c>
      <c r="K95" s="2" t="s">
        <v>237</v>
      </c>
      <c r="L95" s="31">
        <v>74</v>
      </c>
      <c r="M95" s="31">
        <v>106</v>
      </c>
      <c r="N95" s="31">
        <v>128</v>
      </c>
      <c r="O95" s="18"/>
      <c r="P95" s="18"/>
      <c r="Q95" s="18"/>
      <c r="R95" s="18"/>
      <c r="S95" s="18"/>
      <c r="T95" s="18"/>
      <c r="U95" s="17"/>
      <c r="V95" s="17"/>
      <c r="W95" s="17"/>
      <c r="Y95" s="30"/>
      <c r="Z95" s="30"/>
      <c r="AA95" s="30"/>
      <c r="AB95" s="30"/>
      <c r="AC95" s="30"/>
      <c r="AD95" s="30"/>
      <c r="AE95" s="30"/>
      <c r="AF95" s="30"/>
      <c r="AG95" s="30"/>
    </row>
    <row r="96" spans="1:33" x14ac:dyDescent="0.25">
      <c r="A96" s="10" t="s">
        <v>112</v>
      </c>
      <c r="B96" s="10" t="s">
        <v>39</v>
      </c>
      <c r="C96" s="10" t="s">
        <v>40</v>
      </c>
      <c r="D96" s="10" t="s">
        <v>306</v>
      </c>
      <c r="E96" s="10" t="s">
        <v>307</v>
      </c>
      <c r="F96" s="10" t="s">
        <v>308</v>
      </c>
      <c r="G96" s="10" t="s">
        <v>244</v>
      </c>
      <c r="H96" s="19">
        <v>2007001965</v>
      </c>
      <c r="I96" s="10"/>
      <c r="J96" s="15">
        <v>121</v>
      </c>
      <c r="K96" s="2" t="s">
        <v>238</v>
      </c>
      <c r="L96" s="31">
        <v>0</v>
      </c>
      <c r="M96" s="31">
        <v>0</v>
      </c>
      <c r="N96" s="31">
        <v>0</v>
      </c>
      <c r="O96" s="18"/>
      <c r="P96" s="18"/>
      <c r="Q96" s="18"/>
      <c r="R96" s="18"/>
      <c r="S96" s="18"/>
      <c r="T96" s="18"/>
      <c r="U96" s="17"/>
      <c r="V96" s="17"/>
      <c r="W96" s="17"/>
      <c r="Y96" s="30"/>
      <c r="Z96" s="30"/>
      <c r="AA96" s="30"/>
      <c r="AB96" s="30"/>
      <c r="AC96" s="30"/>
      <c r="AD96" s="30"/>
      <c r="AE96" s="30"/>
      <c r="AF96" s="30"/>
      <c r="AG96" s="30"/>
    </row>
    <row r="97" spans="1:33" x14ac:dyDescent="0.25">
      <c r="A97" s="10" t="s">
        <v>112</v>
      </c>
      <c r="B97" s="10" t="s">
        <v>39</v>
      </c>
      <c r="C97" s="10" t="s">
        <v>40</v>
      </c>
      <c r="D97" s="10" t="s">
        <v>306</v>
      </c>
      <c r="E97" s="10" t="s">
        <v>307</v>
      </c>
      <c r="F97" s="10" t="s">
        <v>308</v>
      </c>
      <c r="G97" s="10" t="s">
        <v>244</v>
      </c>
      <c r="H97" s="19">
        <v>2007001965</v>
      </c>
      <c r="I97" s="10"/>
      <c r="J97" s="15">
        <v>121</v>
      </c>
      <c r="K97" s="2" t="s">
        <v>239</v>
      </c>
      <c r="L97" s="31">
        <v>47</v>
      </c>
      <c r="M97" s="31">
        <v>33</v>
      </c>
      <c r="N97" s="31">
        <v>40</v>
      </c>
      <c r="O97" s="18"/>
      <c r="P97" s="18"/>
      <c r="Q97" s="18"/>
      <c r="R97" s="18"/>
      <c r="S97" s="18"/>
      <c r="T97" s="18"/>
      <c r="U97" s="17"/>
      <c r="V97" s="17"/>
      <c r="W97" s="17"/>
      <c r="Y97" s="30"/>
      <c r="Z97" s="30"/>
      <c r="AA97" s="30"/>
      <c r="AB97" s="30"/>
      <c r="AC97" s="30"/>
      <c r="AD97" s="30"/>
      <c r="AE97" s="30"/>
      <c r="AF97" s="30"/>
      <c r="AG97" s="30"/>
    </row>
    <row r="98" spans="1:33" x14ac:dyDescent="0.25">
      <c r="A98" s="10" t="s">
        <v>112</v>
      </c>
      <c r="B98" s="10" t="s">
        <v>39</v>
      </c>
      <c r="C98" s="10" t="s">
        <v>40</v>
      </c>
      <c r="D98" s="10" t="s">
        <v>306</v>
      </c>
      <c r="E98" s="10" t="s">
        <v>307</v>
      </c>
      <c r="F98" s="10" t="s">
        <v>308</v>
      </c>
      <c r="G98" s="10" t="s">
        <v>244</v>
      </c>
      <c r="H98" s="19">
        <v>2007001965</v>
      </c>
      <c r="I98" s="10"/>
      <c r="J98" s="15">
        <v>121</v>
      </c>
      <c r="K98" s="2" t="s">
        <v>240</v>
      </c>
      <c r="L98" s="31">
        <v>127073</v>
      </c>
      <c r="M98" s="31">
        <v>119120</v>
      </c>
      <c r="N98" s="31">
        <v>118436</v>
      </c>
      <c r="O98" s="18">
        <v>127073</v>
      </c>
      <c r="P98" s="18">
        <v>119120</v>
      </c>
      <c r="Q98" s="18">
        <v>118436</v>
      </c>
      <c r="R98" s="18">
        <v>127073.35887783034</v>
      </c>
      <c r="S98" s="18">
        <v>119120.0514109107</v>
      </c>
      <c r="T98" s="18">
        <v>118435.86016674551</v>
      </c>
      <c r="U98" s="17"/>
      <c r="V98" s="17"/>
      <c r="W98" s="17"/>
      <c r="Y98" s="30">
        <f t="shared" si="9"/>
        <v>0</v>
      </c>
      <c r="Z98" s="30">
        <f t="shared" si="9"/>
        <v>0</v>
      </c>
      <c r="AA98" s="30">
        <f t="shared" si="10"/>
        <v>0</v>
      </c>
      <c r="AB98" s="30">
        <f t="shared" si="15"/>
        <v>2.8241863365696673E-6</v>
      </c>
      <c r="AC98" s="30">
        <f t="shared" si="16"/>
        <v>4.3158924367681095E-7</v>
      </c>
      <c r="AD98" s="30">
        <f t="shared" si="13"/>
        <v>-1.1806651228907228E-6</v>
      </c>
      <c r="AE98" s="30"/>
      <c r="AF98" s="30"/>
      <c r="AG98" s="30"/>
    </row>
    <row r="99" spans="1:33" x14ac:dyDescent="0.25">
      <c r="A99" s="9" t="s">
        <v>112</v>
      </c>
      <c r="B99" s="9" t="s">
        <v>418</v>
      </c>
      <c r="C99" s="9" t="s">
        <v>41</v>
      </c>
      <c r="D99" s="9" t="s">
        <v>309</v>
      </c>
      <c r="E99" s="9" t="s">
        <v>243</v>
      </c>
      <c r="F99" s="9" t="s">
        <v>243</v>
      </c>
      <c r="G99" s="9" t="s">
        <v>244</v>
      </c>
      <c r="H99" s="9">
        <v>2007001966</v>
      </c>
      <c r="I99" s="9" t="s">
        <v>88</v>
      </c>
      <c r="J99" s="14">
        <v>1505</v>
      </c>
      <c r="K99" s="2" t="s">
        <v>237</v>
      </c>
      <c r="L99" s="31">
        <v>19</v>
      </c>
      <c r="M99" s="31">
        <v>25</v>
      </c>
      <c r="N99" s="31">
        <v>23</v>
      </c>
      <c r="O99" s="18"/>
      <c r="P99" s="18"/>
      <c r="Q99" s="18"/>
      <c r="R99" s="18"/>
      <c r="S99" s="18"/>
      <c r="T99" s="18"/>
      <c r="U99" s="17"/>
      <c r="V99" s="17"/>
      <c r="W99" s="17"/>
      <c r="Y99" s="30"/>
      <c r="Z99" s="30"/>
      <c r="AA99" s="30"/>
      <c r="AB99" s="30"/>
      <c r="AC99" s="30"/>
      <c r="AD99" s="30"/>
      <c r="AE99" s="30"/>
      <c r="AF99" s="30"/>
      <c r="AG99" s="30"/>
    </row>
    <row r="100" spans="1:33" x14ac:dyDescent="0.25">
      <c r="A100" s="9" t="s">
        <v>112</v>
      </c>
      <c r="B100" s="9" t="s">
        <v>39</v>
      </c>
      <c r="C100" s="9" t="s">
        <v>41</v>
      </c>
      <c r="D100" s="9" t="s">
        <v>309</v>
      </c>
      <c r="E100" s="9" t="s">
        <v>243</v>
      </c>
      <c r="F100" s="9" t="s">
        <v>243</v>
      </c>
      <c r="G100" s="9" t="s">
        <v>244</v>
      </c>
      <c r="H100" s="9">
        <v>2007001966</v>
      </c>
      <c r="I100" s="9" t="s">
        <v>88</v>
      </c>
      <c r="J100" s="14">
        <v>1505</v>
      </c>
      <c r="K100" s="2" t="s">
        <v>238</v>
      </c>
      <c r="L100" s="31">
        <v>0</v>
      </c>
      <c r="M100" s="31">
        <v>0</v>
      </c>
      <c r="N100" s="31">
        <v>0</v>
      </c>
      <c r="O100" s="18"/>
      <c r="P100" s="18"/>
      <c r="Q100" s="18"/>
      <c r="R100" s="18"/>
      <c r="S100" s="18"/>
      <c r="T100" s="18"/>
      <c r="U100" s="17"/>
      <c r="V100" s="17"/>
      <c r="W100" s="17"/>
      <c r="Y100" s="30"/>
      <c r="Z100" s="30"/>
      <c r="AA100" s="30"/>
      <c r="AB100" s="30"/>
      <c r="AC100" s="30"/>
      <c r="AD100" s="30"/>
      <c r="AE100" s="30"/>
      <c r="AF100" s="30"/>
      <c r="AG100" s="30"/>
    </row>
    <row r="101" spans="1:33" x14ac:dyDescent="0.25">
      <c r="A101" s="9" t="s">
        <v>112</v>
      </c>
      <c r="B101" s="9" t="s">
        <v>39</v>
      </c>
      <c r="C101" s="9" t="s">
        <v>41</v>
      </c>
      <c r="D101" s="9" t="s">
        <v>309</v>
      </c>
      <c r="E101" s="9" t="s">
        <v>243</v>
      </c>
      <c r="F101" s="9" t="s">
        <v>243</v>
      </c>
      <c r="G101" s="9" t="s">
        <v>244</v>
      </c>
      <c r="H101" s="9">
        <v>2007001966</v>
      </c>
      <c r="I101" s="9" t="s">
        <v>88</v>
      </c>
      <c r="J101" s="14">
        <v>1505</v>
      </c>
      <c r="K101" s="2" t="s">
        <v>239</v>
      </c>
      <c r="L101" s="31">
        <v>14</v>
      </c>
      <c r="M101" s="31">
        <v>13</v>
      </c>
      <c r="N101" s="31">
        <v>2.8</v>
      </c>
      <c r="O101" s="18"/>
      <c r="P101" s="18"/>
      <c r="Q101" s="18"/>
      <c r="R101" s="18"/>
      <c r="S101" s="18"/>
      <c r="T101" s="18"/>
      <c r="U101" s="17"/>
      <c r="V101" s="17"/>
      <c r="W101" s="17"/>
      <c r="Y101" s="30"/>
      <c r="Z101" s="30"/>
      <c r="AA101" s="30"/>
      <c r="AB101" s="30"/>
      <c r="AC101" s="30"/>
      <c r="AD101" s="30"/>
      <c r="AE101" s="30"/>
      <c r="AF101" s="30"/>
      <c r="AG101" s="30"/>
    </row>
    <row r="102" spans="1:33" x14ac:dyDescent="0.25">
      <c r="A102" s="9" t="s">
        <v>112</v>
      </c>
      <c r="B102" s="9" t="s">
        <v>39</v>
      </c>
      <c r="C102" s="9" t="s">
        <v>41</v>
      </c>
      <c r="D102" s="9" t="s">
        <v>309</v>
      </c>
      <c r="E102" s="9" t="s">
        <v>243</v>
      </c>
      <c r="F102" s="9" t="s">
        <v>243</v>
      </c>
      <c r="G102" s="9" t="s">
        <v>244</v>
      </c>
      <c r="H102" s="9">
        <v>2007001966</v>
      </c>
      <c r="I102" s="9" t="s">
        <v>88</v>
      </c>
      <c r="J102" s="14">
        <v>1505</v>
      </c>
      <c r="K102" s="2" t="s">
        <v>240</v>
      </c>
      <c r="L102" s="31">
        <v>65117</v>
      </c>
      <c r="M102" s="31">
        <v>59239</v>
      </c>
      <c r="N102" s="31">
        <v>57695</v>
      </c>
      <c r="O102" s="18"/>
      <c r="P102" s="18"/>
      <c r="Q102" s="18"/>
      <c r="R102" s="18">
        <v>65116.801375403986</v>
      </c>
      <c r="S102" s="18">
        <v>59238.895518691279</v>
      </c>
      <c r="T102" s="18">
        <v>57695.280198385175</v>
      </c>
      <c r="U102" s="17"/>
      <c r="V102" s="17"/>
      <c r="W102" s="17"/>
      <c r="Y102" s="30"/>
      <c r="Z102" s="30"/>
      <c r="AA102" s="30"/>
      <c r="AB102" s="30">
        <f t="shared" si="15"/>
        <v>-3.0502725250070029E-6</v>
      </c>
      <c r="AC102" s="30">
        <f t="shared" si="16"/>
        <v>-1.7637250582236419E-6</v>
      </c>
      <c r="AD102" s="30">
        <f t="shared" si="13"/>
        <v>4.856545370968135E-6</v>
      </c>
      <c r="AE102" s="30"/>
      <c r="AF102" s="30"/>
      <c r="AG102" s="30"/>
    </row>
    <row r="103" spans="1:33" x14ac:dyDescent="0.25">
      <c r="A103" s="9" t="s">
        <v>113</v>
      </c>
      <c r="B103" s="9" t="s">
        <v>419</v>
      </c>
      <c r="C103" s="9" t="s">
        <v>43</v>
      </c>
      <c r="D103" s="9" t="s">
        <v>310</v>
      </c>
      <c r="E103" s="9" t="s">
        <v>311</v>
      </c>
      <c r="F103" s="9" t="s">
        <v>312</v>
      </c>
      <c r="G103" s="9" t="s">
        <v>236</v>
      </c>
      <c r="H103" s="9">
        <v>2010000199</v>
      </c>
      <c r="I103" s="9" t="s">
        <v>89</v>
      </c>
      <c r="J103" s="14">
        <v>1561</v>
      </c>
      <c r="K103" s="2" t="s">
        <v>237</v>
      </c>
      <c r="L103" s="31" t="s">
        <v>151</v>
      </c>
      <c r="M103" s="31" t="s">
        <v>151</v>
      </c>
      <c r="N103" s="31">
        <v>22.677</v>
      </c>
      <c r="O103" s="18"/>
      <c r="P103" s="18"/>
      <c r="Q103" s="18"/>
      <c r="R103" s="18"/>
      <c r="S103" s="18"/>
      <c r="T103" s="18"/>
      <c r="U103" s="17">
        <v>24.077000000000002</v>
      </c>
      <c r="V103" s="17">
        <v>22.672000000000001</v>
      </c>
      <c r="W103" s="17"/>
      <c r="Y103" s="30"/>
      <c r="Z103" s="30"/>
      <c r="AA103" s="30"/>
      <c r="AB103" s="30"/>
      <c r="AC103" s="30"/>
      <c r="AD103" s="30"/>
      <c r="AE103" s="30"/>
      <c r="AF103" s="30"/>
      <c r="AG103" s="30"/>
    </row>
    <row r="104" spans="1:33" x14ac:dyDescent="0.25">
      <c r="A104" s="9" t="s">
        <v>113</v>
      </c>
      <c r="B104" s="9" t="s">
        <v>42</v>
      </c>
      <c r="C104" s="9" t="s">
        <v>43</v>
      </c>
      <c r="D104" s="9" t="s">
        <v>310</v>
      </c>
      <c r="E104" s="9" t="s">
        <v>311</v>
      </c>
      <c r="F104" s="9" t="s">
        <v>312</v>
      </c>
      <c r="G104" s="9" t="s">
        <v>236</v>
      </c>
      <c r="H104" s="9">
        <v>2010000199</v>
      </c>
      <c r="I104" s="9" t="s">
        <v>89</v>
      </c>
      <c r="J104" s="14">
        <v>1561</v>
      </c>
      <c r="K104" s="2" t="s">
        <v>238</v>
      </c>
      <c r="L104" s="31">
        <v>0</v>
      </c>
      <c r="M104" s="31">
        <v>0</v>
      </c>
      <c r="N104" s="31">
        <v>0</v>
      </c>
      <c r="O104" s="18"/>
      <c r="P104" s="18"/>
      <c r="Q104" s="18"/>
      <c r="R104" s="18"/>
      <c r="S104" s="18"/>
      <c r="T104" s="18"/>
      <c r="U104" s="17">
        <v>0</v>
      </c>
      <c r="V104" s="17">
        <v>0</v>
      </c>
      <c r="W104" s="17"/>
      <c r="Y104" s="30"/>
      <c r="Z104" s="30"/>
      <c r="AA104" s="30"/>
      <c r="AB104" s="30"/>
      <c r="AC104" s="30"/>
      <c r="AD104" s="30"/>
      <c r="AE104" s="30"/>
      <c r="AF104" s="30"/>
      <c r="AG104" s="30"/>
    </row>
    <row r="105" spans="1:33" x14ac:dyDescent="0.25">
      <c r="A105" s="9" t="s">
        <v>113</v>
      </c>
      <c r="B105" s="9" t="s">
        <v>42</v>
      </c>
      <c r="C105" s="9" t="s">
        <v>43</v>
      </c>
      <c r="D105" s="9" t="s">
        <v>310</v>
      </c>
      <c r="E105" s="9" t="s">
        <v>311</v>
      </c>
      <c r="F105" s="9" t="s">
        <v>312</v>
      </c>
      <c r="G105" s="9" t="s">
        <v>236</v>
      </c>
      <c r="H105" s="9">
        <v>2010000199</v>
      </c>
      <c r="I105" s="9" t="s">
        <v>89</v>
      </c>
      <c r="J105" s="14">
        <v>1561</v>
      </c>
      <c r="K105" s="2" t="s">
        <v>239</v>
      </c>
      <c r="L105" s="31" t="s">
        <v>151</v>
      </c>
      <c r="M105" s="31" t="s">
        <v>151</v>
      </c>
      <c r="N105" s="31">
        <v>6.7590000000000003</v>
      </c>
      <c r="O105" s="18"/>
      <c r="P105" s="18"/>
      <c r="Q105" s="18"/>
      <c r="R105" s="18"/>
      <c r="S105" s="18"/>
      <c r="T105" s="18"/>
      <c r="U105" s="17"/>
      <c r="V105" s="17"/>
      <c r="W105" s="17"/>
      <c r="Y105" s="30"/>
      <c r="Z105" s="30"/>
      <c r="AA105" s="30"/>
      <c r="AB105" s="30"/>
      <c r="AC105" s="30"/>
      <c r="AD105" s="30"/>
      <c r="AE105" s="30"/>
      <c r="AF105" s="30"/>
      <c r="AG105" s="30"/>
    </row>
    <row r="106" spans="1:33" x14ac:dyDescent="0.25">
      <c r="A106" s="9" t="s">
        <v>113</v>
      </c>
      <c r="B106" s="9" t="s">
        <v>42</v>
      </c>
      <c r="C106" s="9" t="s">
        <v>43</v>
      </c>
      <c r="D106" s="9" t="s">
        <v>310</v>
      </c>
      <c r="E106" s="9" t="s">
        <v>311</v>
      </c>
      <c r="F106" s="9" t="s">
        <v>312</v>
      </c>
      <c r="G106" s="9" t="s">
        <v>236</v>
      </c>
      <c r="H106" s="9">
        <v>2010000199</v>
      </c>
      <c r="I106" s="9" t="s">
        <v>89</v>
      </c>
      <c r="J106" s="14">
        <v>1561</v>
      </c>
      <c r="K106" s="2" t="s">
        <v>240</v>
      </c>
      <c r="L106" s="31">
        <v>131721</v>
      </c>
      <c r="M106" s="31">
        <v>113776</v>
      </c>
      <c r="N106" s="31">
        <v>121515</v>
      </c>
      <c r="O106" s="18">
        <v>131721</v>
      </c>
      <c r="P106" s="18">
        <v>113776</v>
      </c>
      <c r="Q106" s="18"/>
      <c r="R106" s="18">
        <v>131721.37446566368</v>
      </c>
      <c r="S106" s="18">
        <v>113776.1444656637</v>
      </c>
      <c r="T106" s="18">
        <v>121514.5144656637</v>
      </c>
      <c r="U106" s="17"/>
      <c r="V106" s="17"/>
      <c r="W106" s="17"/>
      <c r="Y106" s="30">
        <f t="shared" si="9"/>
        <v>0</v>
      </c>
      <c r="Z106" s="30">
        <f t="shared" si="9"/>
        <v>0</v>
      </c>
      <c r="AA106" s="30"/>
      <c r="AB106" s="30">
        <f t="shared" si="15"/>
        <v>2.8428698817251075E-6</v>
      </c>
      <c r="AC106" s="30">
        <f t="shared" si="16"/>
        <v>1.2697375870729388E-6</v>
      </c>
      <c r="AD106" s="30">
        <f t="shared" si="13"/>
        <v>-3.9956740838231752E-6</v>
      </c>
      <c r="AE106" s="30"/>
      <c r="AF106" s="30"/>
      <c r="AG106" s="30"/>
    </row>
    <row r="107" spans="1:33" x14ac:dyDescent="0.25">
      <c r="A107" s="9" t="s">
        <v>114</v>
      </c>
      <c r="B107" s="9" t="s">
        <v>420</v>
      </c>
      <c r="C107" s="9" t="s">
        <v>45</v>
      </c>
      <c r="D107" s="9" t="s">
        <v>313</v>
      </c>
      <c r="E107" s="9" t="s">
        <v>314</v>
      </c>
      <c r="F107" s="9" t="s">
        <v>315</v>
      </c>
      <c r="G107" s="9" t="s">
        <v>316</v>
      </c>
      <c r="H107" s="20">
        <v>2007000613</v>
      </c>
      <c r="I107" s="9" t="s">
        <v>89</v>
      </c>
      <c r="J107" s="14">
        <v>1472</v>
      </c>
      <c r="K107" s="2" t="s">
        <v>237</v>
      </c>
      <c r="L107" s="31">
        <v>171.3</v>
      </c>
      <c r="M107" s="31">
        <v>123</v>
      </c>
      <c r="N107" s="31">
        <v>191.2</v>
      </c>
      <c r="O107" s="18">
        <v>172</v>
      </c>
      <c r="P107" s="18">
        <v>122</v>
      </c>
      <c r="Q107" s="18">
        <v>191</v>
      </c>
      <c r="R107" s="18"/>
      <c r="S107" s="18"/>
      <c r="T107" s="18"/>
      <c r="U107" s="17">
        <v>165</v>
      </c>
      <c r="V107" s="17">
        <v>118</v>
      </c>
      <c r="W107" s="17"/>
      <c r="Y107" s="30">
        <f t="shared" si="9"/>
        <v>4.086398131932123E-3</v>
      </c>
      <c r="Z107" s="30">
        <f t="shared" si="9"/>
        <v>-8.1300813008130524E-3</v>
      </c>
      <c r="AA107" s="30">
        <f t="shared" si="10"/>
        <v>-1.0460251046024993E-3</v>
      </c>
      <c r="AB107" s="30"/>
      <c r="AC107" s="30"/>
      <c r="AD107" s="30"/>
      <c r="AE107" s="30">
        <f t="shared" si="11"/>
        <v>-3.6777583187390661E-2</v>
      </c>
      <c r="AF107" s="30">
        <f t="shared" si="12"/>
        <v>-4.065040650406504E-2</v>
      </c>
      <c r="AG107" s="30"/>
    </row>
    <row r="108" spans="1:33" x14ac:dyDescent="0.25">
      <c r="A108" s="9" t="s">
        <v>114</v>
      </c>
      <c r="B108" s="9" t="s">
        <v>44</v>
      </c>
      <c r="C108" s="9" t="s">
        <v>45</v>
      </c>
      <c r="D108" s="9" t="s">
        <v>313</v>
      </c>
      <c r="E108" s="9" t="s">
        <v>314</v>
      </c>
      <c r="F108" s="9" t="s">
        <v>315</v>
      </c>
      <c r="G108" s="9" t="s">
        <v>316</v>
      </c>
      <c r="H108" s="20">
        <v>2007000613</v>
      </c>
      <c r="I108" s="9" t="s">
        <v>89</v>
      </c>
      <c r="J108" s="14">
        <v>1472</v>
      </c>
      <c r="K108" s="2" t="s">
        <v>238</v>
      </c>
      <c r="L108" s="31">
        <v>0</v>
      </c>
      <c r="M108" s="31">
        <v>0</v>
      </c>
      <c r="N108" s="31">
        <v>0</v>
      </c>
      <c r="O108" s="18"/>
      <c r="P108" s="18"/>
      <c r="Q108" s="18"/>
      <c r="R108" s="18"/>
      <c r="S108" s="18"/>
      <c r="T108" s="18"/>
      <c r="U108" s="17">
        <v>0</v>
      </c>
      <c r="V108" s="17">
        <v>0</v>
      </c>
      <c r="W108" s="17"/>
      <c r="Y108" s="30"/>
      <c r="Z108" s="30"/>
      <c r="AA108" s="30"/>
      <c r="AB108" s="30"/>
      <c r="AC108" s="30"/>
      <c r="AD108" s="30"/>
      <c r="AE108" s="30"/>
      <c r="AF108" s="30"/>
      <c r="AG108" s="30"/>
    </row>
    <row r="109" spans="1:33" x14ac:dyDescent="0.25">
      <c r="A109" s="9" t="s">
        <v>114</v>
      </c>
      <c r="B109" s="9" t="s">
        <v>44</v>
      </c>
      <c r="C109" s="9" t="s">
        <v>45</v>
      </c>
      <c r="D109" s="9" t="s">
        <v>313</v>
      </c>
      <c r="E109" s="9" t="s">
        <v>314</v>
      </c>
      <c r="F109" s="9" t="s">
        <v>315</v>
      </c>
      <c r="G109" s="9" t="s">
        <v>316</v>
      </c>
      <c r="H109" s="20">
        <v>2007000613</v>
      </c>
      <c r="I109" s="9" t="s">
        <v>89</v>
      </c>
      <c r="J109" s="14">
        <v>1472</v>
      </c>
      <c r="K109" s="2" t="s">
        <v>239</v>
      </c>
      <c r="L109" s="31">
        <v>0</v>
      </c>
      <c r="M109" s="31">
        <v>0</v>
      </c>
      <c r="N109" s="31">
        <v>0</v>
      </c>
      <c r="O109" s="18"/>
      <c r="P109" s="18"/>
      <c r="Q109" s="18"/>
      <c r="R109" s="18"/>
      <c r="S109" s="18"/>
      <c r="T109" s="18"/>
      <c r="U109" s="17"/>
      <c r="V109" s="17"/>
      <c r="W109" s="17"/>
      <c r="Y109" s="30"/>
      <c r="Z109" s="30"/>
      <c r="AA109" s="30"/>
      <c r="AB109" s="30"/>
      <c r="AC109" s="30"/>
      <c r="AD109" s="30"/>
      <c r="AE109" s="30"/>
      <c r="AF109" s="30"/>
      <c r="AG109" s="30"/>
    </row>
    <row r="110" spans="1:33" x14ac:dyDescent="0.25">
      <c r="A110" s="9" t="s">
        <v>114</v>
      </c>
      <c r="B110" s="9" t="s">
        <v>44</v>
      </c>
      <c r="C110" s="9" t="s">
        <v>45</v>
      </c>
      <c r="D110" s="9" t="s">
        <v>313</v>
      </c>
      <c r="E110" s="9" t="s">
        <v>314</v>
      </c>
      <c r="F110" s="9" t="s">
        <v>315</v>
      </c>
      <c r="G110" s="9" t="s">
        <v>316</v>
      </c>
      <c r="H110" s="20">
        <v>2007000613</v>
      </c>
      <c r="I110" s="9" t="s">
        <v>89</v>
      </c>
      <c r="J110" s="14">
        <v>1472</v>
      </c>
      <c r="K110" s="2" t="s">
        <v>240</v>
      </c>
      <c r="L110" s="31">
        <v>605967</v>
      </c>
      <c r="M110" s="31">
        <v>349841</v>
      </c>
      <c r="N110" s="31">
        <v>519159</v>
      </c>
      <c r="O110" s="18">
        <v>605967</v>
      </c>
      <c r="P110" s="18">
        <v>349841</v>
      </c>
      <c r="Q110" s="18">
        <v>519159</v>
      </c>
      <c r="R110" s="18">
        <v>605966.80587348936</v>
      </c>
      <c r="S110" s="18">
        <v>349841.32824481011</v>
      </c>
      <c r="T110" s="18">
        <v>519159.36945403181</v>
      </c>
      <c r="U110" s="17"/>
      <c r="V110" s="17"/>
      <c r="W110" s="17"/>
      <c r="Y110" s="30">
        <f t="shared" si="9"/>
        <v>0</v>
      </c>
      <c r="Z110" s="30">
        <f t="shared" si="9"/>
        <v>0</v>
      </c>
      <c r="AA110" s="30">
        <f t="shared" si="10"/>
        <v>0</v>
      </c>
      <c r="AB110" s="30">
        <f t="shared" si="15"/>
        <v>-3.2035822183917873E-7</v>
      </c>
      <c r="AC110" s="30">
        <f t="shared" si="16"/>
        <v>9.3826855662726416E-7</v>
      </c>
      <c r="AD110" s="30">
        <f t="shared" si="13"/>
        <v>7.1163946269159339E-7</v>
      </c>
      <c r="AE110" s="30"/>
      <c r="AF110" s="30"/>
      <c r="AG110" s="30"/>
    </row>
    <row r="111" spans="1:33" x14ac:dyDescent="0.25">
      <c r="A111" s="9" t="s">
        <v>115</v>
      </c>
      <c r="B111" s="9" t="s">
        <v>421</v>
      </c>
      <c r="C111" s="9" t="s">
        <v>47</v>
      </c>
      <c r="D111" s="9" t="s">
        <v>317</v>
      </c>
      <c r="E111" s="9" t="s">
        <v>318</v>
      </c>
      <c r="F111" s="9" t="s">
        <v>319</v>
      </c>
      <c r="G111" s="9" t="s">
        <v>320</v>
      </c>
      <c r="H111" s="9">
        <v>2007001405</v>
      </c>
      <c r="I111" s="9" t="s">
        <v>89</v>
      </c>
      <c r="J111" s="14">
        <v>652</v>
      </c>
      <c r="K111" s="2" t="s">
        <v>237</v>
      </c>
      <c r="L111" s="31">
        <v>11</v>
      </c>
      <c r="M111" s="31">
        <v>56.4</v>
      </c>
      <c r="N111" s="31">
        <v>169.9</v>
      </c>
      <c r="O111" s="18"/>
      <c r="P111" s="18"/>
      <c r="Q111" s="18">
        <v>170.04</v>
      </c>
      <c r="R111" s="18"/>
      <c r="S111" s="18"/>
      <c r="T111" s="18"/>
      <c r="U111" s="17">
        <v>13.367000000000001</v>
      </c>
      <c r="V111" s="17">
        <v>59.082999999999998</v>
      </c>
      <c r="W111" s="17"/>
      <c r="Y111" s="30"/>
      <c r="Z111" s="30"/>
      <c r="AA111" s="30">
        <f t="shared" si="10"/>
        <v>8.2401412595634049E-4</v>
      </c>
      <c r="AB111" s="30"/>
      <c r="AC111" s="30"/>
      <c r="AD111" s="30"/>
      <c r="AE111" s="39">
        <f t="shared" si="11"/>
        <v>0.21518181818181836</v>
      </c>
      <c r="AF111" s="30">
        <f t="shared" si="12"/>
        <v>4.7570921985815584E-2</v>
      </c>
      <c r="AG111" s="30"/>
    </row>
    <row r="112" spans="1:33" x14ac:dyDescent="0.25">
      <c r="A112" s="9" t="s">
        <v>115</v>
      </c>
      <c r="B112" s="9" t="s">
        <v>46</v>
      </c>
      <c r="C112" s="9" t="s">
        <v>47</v>
      </c>
      <c r="D112" s="9" t="s">
        <v>317</v>
      </c>
      <c r="E112" s="9" t="s">
        <v>318</v>
      </c>
      <c r="F112" s="9" t="s">
        <v>319</v>
      </c>
      <c r="G112" s="9" t="s">
        <v>320</v>
      </c>
      <c r="H112" s="9">
        <v>2007001405</v>
      </c>
      <c r="I112" s="9" t="s">
        <v>89</v>
      </c>
      <c r="J112" s="14">
        <v>652</v>
      </c>
      <c r="K112" s="2" t="s">
        <v>238</v>
      </c>
      <c r="L112" s="31">
        <v>0</v>
      </c>
      <c r="M112" s="31">
        <v>0</v>
      </c>
      <c r="N112" s="31">
        <v>0</v>
      </c>
      <c r="O112" s="18"/>
      <c r="P112" s="18"/>
      <c r="Q112" s="18"/>
      <c r="R112" s="18"/>
      <c r="S112" s="18"/>
      <c r="T112" s="18"/>
      <c r="U112" s="17">
        <v>0.36499999999999999</v>
      </c>
      <c r="V112" s="17">
        <v>0</v>
      </c>
      <c r="W112" s="17"/>
      <c r="Y112" s="30"/>
      <c r="Z112" s="30"/>
      <c r="AA112" s="30"/>
      <c r="AB112" s="30"/>
      <c r="AC112" s="30"/>
      <c r="AD112" s="30"/>
      <c r="AE112" s="30"/>
      <c r="AF112" s="30"/>
      <c r="AG112" s="30"/>
    </row>
    <row r="113" spans="1:33" x14ac:dyDescent="0.25">
      <c r="A113" s="9" t="s">
        <v>115</v>
      </c>
      <c r="B113" s="9" t="s">
        <v>46</v>
      </c>
      <c r="C113" s="9" t="s">
        <v>47</v>
      </c>
      <c r="D113" s="9" t="s">
        <v>317</v>
      </c>
      <c r="E113" s="9" t="s">
        <v>318</v>
      </c>
      <c r="F113" s="9" t="s">
        <v>319</v>
      </c>
      <c r="G113" s="9" t="s">
        <v>320</v>
      </c>
      <c r="H113" s="9">
        <v>2007001405</v>
      </c>
      <c r="I113" s="9" t="s">
        <v>89</v>
      </c>
      <c r="J113" s="14">
        <v>652</v>
      </c>
      <c r="K113" s="2" t="s">
        <v>239</v>
      </c>
      <c r="L113" s="31">
        <v>2.4660000000000002</v>
      </c>
      <c r="M113" s="31">
        <v>6.202</v>
      </c>
      <c r="N113" s="31">
        <v>13.342000000000001</v>
      </c>
      <c r="O113" s="18"/>
      <c r="P113" s="18"/>
      <c r="Q113" s="18"/>
      <c r="R113" s="18"/>
      <c r="S113" s="18"/>
      <c r="T113" s="18"/>
      <c r="U113" s="17"/>
      <c r="V113" s="17"/>
      <c r="W113" s="17"/>
      <c r="Y113" s="30"/>
      <c r="Z113" s="30"/>
      <c r="AA113" s="30"/>
      <c r="AB113" s="30"/>
      <c r="AC113" s="30"/>
      <c r="AD113" s="30"/>
      <c r="AE113" s="30"/>
      <c r="AF113" s="30"/>
      <c r="AG113" s="30"/>
    </row>
    <row r="114" spans="1:33" x14ac:dyDescent="0.25">
      <c r="A114" s="9" t="s">
        <v>115</v>
      </c>
      <c r="B114" s="9" t="s">
        <v>46</v>
      </c>
      <c r="C114" s="9" t="s">
        <v>47</v>
      </c>
      <c r="D114" s="9" t="s">
        <v>317</v>
      </c>
      <c r="E114" s="9" t="s">
        <v>318</v>
      </c>
      <c r="F114" s="9" t="s">
        <v>319</v>
      </c>
      <c r="G114" s="9" t="s">
        <v>320</v>
      </c>
      <c r="H114" s="9">
        <v>2007001405</v>
      </c>
      <c r="I114" s="9" t="s">
        <v>89</v>
      </c>
      <c r="J114" s="14">
        <v>652</v>
      </c>
      <c r="K114" s="2" t="s">
        <v>240</v>
      </c>
      <c r="L114" s="31">
        <v>37382</v>
      </c>
      <c r="M114" s="31">
        <v>172547</v>
      </c>
      <c r="N114" s="31">
        <v>527251</v>
      </c>
      <c r="O114" s="18"/>
      <c r="P114" s="18">
        <v>172546.87359999999</v>
      </c>
      <c r="Q114" s="18">
        <v>527251.15500000003</v>
      </c>
      <c r="R114" s="18">
        <v>37281.760881586328</v>
      </c>
      <c r="S114" s="18">
        <v>172546.87453528363</v>
      </c>
      <c r="T114" s="18">
        <v>527251.15507689281</v>
      </c>
      <c r="U114" s="17"/>
      <c r="V114" s="17"/>
      <c r="W114" s="17"/>
      <c r="Y114" s="30"/>
      <c r="Z114" s="30">
        <f t="shared" si="9"/>
        <v>-7.3255402877059339E-7</v>
      </c>
      <c r="AA114" s="30">
        <f t="shared" si="10"/>
        <v>2.9397763112726238E-7</v>
      </c>
      <c r="AB114" s="30">
        <f t="shared" si="15"/>
        <v>-2.6814808842136051E-3</v>
      </c>
      <c r="AC114" s="30">
        <f t="shared" si="16"/>
        <v>-7.2713357157638825E-7</v>
      </c>
      <c r="AD114" s="30">
        <f t="shared" si="13"/>
        <v>2.9412346824742031E-7</v>
      </c>
      <c r="AE114" s="30"/>
      <c r="AF114" s="30"/>
      <c r="AG114" s="30"/>
    </row>
    <row r="115" spans="1:33" x14ac:dyDescent="0.25">
      <c r="A115" s="9" t="s">
        <v>116</v>
      </c>
      <c r="B115" s="9" t="s">
        <v>422</v>
      </c>
      <c r="C115" s="9" t="s">
        <v>48</v>
      </c>
      <c r="D115" s="9" t="s">
        <v>321</v>
      </c>
      <c r="E115" s="9" t="s">
        <v>243</v>
      </c>
      <c r="F115" s="9" t="s">
        <v>243</v>
      </c>
      <c r="G115" s="9" t="s">
        <v>244</v>
      </c>
      <c r="H115" s="9">
        <v>2008000443</v>
      </c>
      <c r="I115" s="9" t="s">
        <v>88</v>
      </c>
      <c r="J115" s="14">
        <v>1513</v>
      </c>
      <c r="K115" s="2" t="s">
        <v>237</v>
      </c>
      <c r="L115" s="31">
        <v>11.98</v>
      </c>
      <c r="M115" s="31">
        <v>12.59</v>
      </c>
      <c r="N115" s="31">
        <v>11.41</v>
      </c>
      <c r="O115" s="18"/>
      <c r="P115" s="18"/>
      <c r="Q115" s="18"/>
      <c r="R115" s="18"/>
      <c r="S115" s="18"/>
      <c r="T115" s="18"/>
      <c r="U115" s="17"/>
      <c r="V115" s="17"/>
      <c r="W115" s="17"/>
      <c r="Y115" s="30"/>
      <c r="Z115" s="30"/>
      <c r="AA115" s="30"/>
      <c r="AB115" s="30"/>
      <c r="AC115" s="30"/>
      <c r="AD115" s="30"/>
      <c r="AE115" s="30"/>
      <c r="AF115" s="30"/>
      <c r="AG115" s="30"/>
    </row>
    <row r="116" spans="1:33" x14ac:dyDescent="0.25">
      <c r="A116" s="9" t="s">
        <v>116</v>
      </c>
      <c r="B116" s="9" t="s">
        <v>10</v>
      </c>
      <c r="C116" s="9" t="s">
        <v>48</v>
      </c>
      <c r="D116" s="9" t="s">
        <v>321</v>
      </c>
      <c r="E116" s="9" t="s">
        <v>243</v>
      </c>
      <c r="F116" s="9" t="s">
        <v>243</v>
      </c>
      <c r="G116" s="9" t="s">
        <v>244</v>
      </c>
      <c r="H116" s="9">
        <v>2008000443</v>
      </c>
      <c r="I116" s="9" t="s">
        <v>88</v>
      </c>
      <c r="J116" s="14">
        <v>1513</v>
      </c>
      <c r="K116" s="2" t="s">
        <v>238</v>
      </c>
      <c r="L116" s="31">
        <v>0</v>
      </c>
      <c r="M116" s="31">
        <v>0</v>
      </c>
      <c r="N116" s="31">
        <v>0</v>
      </c>
      <c r="O116" s="18"/>
      <c r="P116" s="18"/>
      <c r="Q116" s="18"/>
      <c r="R116" s="18"/>
      <c r="S116" s="18"/>
      <c r="T116" s="18"/>
      <c r="U116" s="17"/>
      <c r="V116" s="17"/>
      <c r="W116" s="17"/>
      <c r="Y116" s="30"/>
      <c r="Z116" s="30"/>
      <c r="AA116" s="30"/>
      <c r="AB116" s="30"/>
      <c r="AC116" s="30"/>
      <c r="AD116" s="30"/>
      <c r="AE116" s="30"/>
      <c r="AF116" s="30"/>
      <c r="AG116" s="30"/>
    </row>
    <row r="117" spans="1:33" x14ac:dyDescent="0.25">
      <c r="A117" s="9" t="s">
        <v>116</v>
      </c>
      <c r="B117" s="9" t="s">
        <v>10</v>
      </c>
      <c r="C117" s="9" t="s">
        <v>48</v>
      </c>
      <c r="D117" s="9" t="s">
        <v>321</v>
      </c>
      <c r="E117" s="9" t="s">
        <v>243</v>
      </c>
      <c r="F117" s="9" t="s">
        <v>243</v>
      </c>
      <c r="G117" s="9" t="s">
        <v>244</v>
      </c>
      <c r="H117" s="9">
        <v>2008000443</v>
      </c>
      <c r="I117" s="9" t="s">
        <v>88</v>
      </c>
      <c r="J117" s="14">
        <v>1513</v>
      </c>
      <c r="K117" s="2" t="s">
        <v>239</v>
      </c>
      <c r="L117" s="31">
        <v>8.52</v>
      </c>
      <c r="M117" s="31">
        <v>7.64</v>
      </c>
      <c r="N117" s="31">
        <v>7.95</v>
      </c>
      <c r="O117" s="18"/>
      <c r="P117" s="18"/>
      <c r="Q117" s="18"/>
      <c r="R117" s="18"/>
      <c r="S117" s="18"/>
      <c r="T117" s="18"/>
      <c r="U117" s="17"/>
      <c r="V117" s="17"/>
      <c r="W117" s="17"/>
      <c r="Y117" s="30"/>
      <c r="Z117" s="30"/>
      <c r="AA117" s="30"/>
      <c r="AB117" s="30"/>
      <c r="AC117" s="30"/>
      <c r="AD117" s="30"/>
      <c r="AE117" s="30"/>
      <c r="AF117" s="30"/>
      <c r="AG117" s="30"/>
    </row>
    <row r="118" spans="1:33" x14ac:dyDescent="0.25">
      <c r="A118" s="9" t="s">
        <v>116</v>
      </c>
      <c r="B118" s="9" t="s">
        <v>10</v>
      </c>
      <c r="C118" s="9" t="s">
        <v>48</v>
      </c>
      <c r="D118" s="9" t="s">
        <v>321</v>
      </c>
      <c r="E118" s="9" t="s">
        <v>243</v>
      </c>
      <c r="F118" s="9" t="s">
        <v>243</v>
      </c>
      <c r="G118" s="9" t="s">
        <v>244</v>
      </c>
      <c r="H118" s="9">
        <v>2008000443</v>
      </c>
      <c r="I118" s="9" t="s">
        <v>88</v>
      </c>
      <c r="J118" s="14">
        <v>1513</v>
      </c>
      <c r="K118" s="2" t="s">
        <v>240</v>
      </c>
      <c r="L118" s="31">
        <v>39723</v>
      </c>
      <c r="M118" s="31">
        <v>40629</v>
      </c>
      <c r="N118" s="31">
        <v>42730</v>
      </c>
      <c r="O118" s="18"/>
      <c r="P118" s="18"/>
      <c r="Q118" s="18"/>
      <c r="R118" s="18">
        <v>39723.321888454688</v>
      </c>
      <c r="S118" s="18">
        <v>40629.472705345412</v>
      </c>
      <c r="T118" s="18">
        <v>42737.429037039998</v>
      </c>
      <c r="U118" s="17"/>
      <c r="V118" s="17"/>
      <c r="W118" s="17"/>
      <c r="Y118" s="30"/>
      <c r="Z118" s="30"/>
      <c r="AA118" s="30"/>
      <c r="AB118" s="30">
        <f t="shared" si="15"/>
        <v>8.1033269059282986E-6</v>
      </c>
      <c r="AC118" s="30">
        <f t="shared" si="16"/>
        <v>1.1634678318772629E-5</v>
      </c>
      <c r="AD118" s="30">
        <f t="shared" si="13"/>
        <v>1.7385998221386423E-4</v>
      </c>
      <c r="AE118" s="30"/>
      <c r="AF118" s="30"/>
      <c r="AG118" s="30"/>
    </row>
    <row r="119" spans="1:33" x14ac:dyDescent="0.25">
      <c r="A119" s="9" t="s">
        <v>117</v>
      </c>
      <c r="B119" s="9" t="s">
        <v>423</v>
      </c>
      <c r="C119" s="9" t="s">
        <v>50</v>
      </c>
      <c r="D119" s="9" t="s">
        <v>322</v>
      </c>
      <c r="E119" s="9" t="s">
        <v>323</v>
      </c>
      <c r="F119" s="9" t="s">
        <v>323</v>
      </c>
      <c r="G119" s="9" t="s">
        <v>316</v>
      </c>
      <c r="H119" s="9">
        <v>2007001318</v>
      </c>
      <c r="I119" s="9" t="s">
        <v>89</v>
      </c>
      <c r="J119" s="14">
        <v>705</v>
      </c>
      <c r="K119" s="2" t="s">
        <v>237</v>
      </c>
      <c r="L119" s="31">
        <v>74</v>
      </c>
      <c r="M119" s="31">
        <v>76</v>
      </c>
      <c r="N119" s="31">
        <v>70</v>
      </c>
      <c r="O119" s="18"/>
      <c r="P119" s="18"/>
      <c r="Q119" s="18"/>
      <c r="R119" s="18"/>
      <c r="S119" s="18"/>
      <c r="T119" s="18"/>
      <c r="U119" s="17">
        <v>74</v>
      </c>
      <c r="V119" s="17">
        <v>75.930000000000007</v>
      </c>
      <c r="W119" s="17"/>
      <c r="Y119" s="30"/>
      <c r="Z119" s="30"/>
      <c r="AA119" s="30"/>
      <c r="AB119" s="30"/>
      <c r="AC119" s="30"/>
      <c r="AD119" s="30"/>
      <c r="AE119" s="30">
        <f t="shared" si="11"/>
        <v>0</v>
      </c>
      <c r="AF119" s="30">
        <f t="shared" si="12"/>
        <v>-9.2105263157882256E-4</v>
      </c>
      <c r="AG119" s="30"/>
    </row>
    <row r="120" spans="1:33" x14ac:dyDescent="0.25">
      <c r="A120" s="9" t="s">
        <v>117</v>
      </c>
      <c r="B120" s="9" t="s">
        <v>49</v>
      </c>
      <c r="C120" s="9" t="s">
        <v>50</v>
      </c>
      <c r="D120" s="9" t="s">
        <v>322</v>
      </c>
      <c r="E120" s="9" t="s">
        <v>323</v>
      </c>
      <c r="F120" s="9" t="s">
        <v>323</v>
      </c>
      <c r="G120" s="9" t="s">
        <v>316</v>
      </c>
      <c r="H120" s="9">
        <v>2007001318</v>
      </c>
      <c r="I120" s="9" t="s">
        <v>89</v>
      </c>
      <c r="J120" s="14">
        <v>705</v>
      </c>
      <c r="K120" s="2" t="s">
        <v>238</v>
      </c>
      <c r="L120" s="31">
        <v>0</v>
      </c>
      <c r="M120" s="31">
        <v>0</v>
      </c>
      <c r="N120" s="31">
        <v>0</v>
      </c>
      <c r="O120" s="18"/>
      <c r="P120" s="18"/>
      <c r="Q120" s="18"/>
      <c r="R120" s="18"/>
      <c r="S120" s="18"/>
      <c r="T120" s="18"/>
      <c r="U120" s="17">
        <v>0</v>
      </c>
      <c r="V120" s="17">
        <v>0</v>
      </c>
      <c r="W120" s="17"/>
      <c r="Y120" s="30"/>
      <c r="Z120" s="30"/>
      <c r="AA120" s="30"/>
      <c r="AB120" s="30"/>
      <c r="AC120" s="30"/>
      <c r="AD120" s="30"/>
      <c r="AE120" s="30"/>
      <c r="AF120" s="30"/>
      <c r="AG120" s="30"/>
    </row>
    <row r="121" spans="1:33" x14ac:dyDescent="0.25">
      <c r="A121" s="9" t="s">
        <v>117</v>
      </c>
      <c r="B121" s="9" t="s">
        <v>49</v>
      </c>
      <c r="C121" s="9" t="s">
        <v>50</v>
      </c>
      <c r="D121" s="9" t="s">
        <v>322</v>
      </c>
      <c r="E121" s="9" t="s">
        <v>323</v>
      </c>
      <c r="F121" s="9" t="s">
        <v>323</v>
      </c>
      <c r="G121" s="9" t="s">
        <v>316</v>
      </c>
      <c r="H121" s="9">
        <v>2007001318</v>
      </c>
      <c r="I121" s="9" t="s">
        <v>89</v>
      </c>
      <c r="J121" s="14">
        <v>705</v>
      </c>
      <c r="K121" s="2" t="s">
        <v>239</v>
      </c>
      <c r="L121" s="31">
        <v>8</v>
      </c>
      <c r="M121" s="31">
        <v>10</v>
      </c>
      <c r="N121" s="31">
        <v>8</v>
      </c>
      <c r="O121" s="18"/>
      <c r="P121" s="18"/>
      <c r="Q121" s="18"/>
      <c r="R121" s="18"/>
      <c r="S121" s="18"/>
      <c r="T121" s="18"/>
      <c r="U121" s="17"/>
      <c r="V121" s="17"/>
      <c r="W121" s="17"/>
      <c r="Y121" s="30"/>
      <c r="Z121" s="30"/>
      <c r="AA121" s="30"/>
      <c r="AB121" s="30"/>
      <c r="AC121" s="30"/>
      <c r="AD121" s="30"/>
      <c r="AE121" s="30"/>
      <c r="AF121" s="30"/>
      <c r="AG121" s="30"/>
    </row>
    <row r="122" spans="1:33" x14ac:dyDescent="0.25">
      <c r="A122" s="9" t="s">
        <v>117</v>
      </c>
      <c r="B122" s="9" t="s">
        <v>49</v>
      </c>
      <c r="C122" s="9" t="s">
        <v>50</v>
      </c>
      <c r="D122" s="9" t="s">
        <v>322</v>
      </c>
      <c r="E122" s="9" t="s">
        <v>323</v>
      </c>
      <c r="F122" s="9" t="s">
        <v>323</v>
      </c>
      <c r="G122" s="9" t="s">
        <v>316</v>
      </c>
      <c r="H122" s="9">
        <v>2007001318</v>
      </c>
      <c r="I122" s="9" t="s">
        <v>89</v>
      </c>
      <c r="J122" s="14">
        <v>705</v>
      </c>
      <c r="K122" s="2" t="s">
        <v>240</v>
      </c>
      <c r="L122" s="31">
        <v>444000</v>
      </c>
      <c r="M122" s="31">
        <v>547000</v>
      </c>
      <c r="N122" s="31">
        <v>537372</v>
      </c>
      <c r="O122" s="18">
        <v>443557</v>
      </c>
      <c r="P122" s="18">
        <v>547295</v>
      </c>
      <c r="Q122" s="18">
        <v>537384.14919999999</v>
      </c>
      <c r="R122" s="18">
        <v>443556.624411717</v>
      </c>
      <c r="S122" s="18">
        <v>547295.1692156241</v>
      </c>
      <c r="T122" s="18">
        <v>537384.14921562409</v>
      </c>
      <c r="U122" s="17"/>
      <c r="V122" s="17"/>
      <c r="W122" s="17"/>
      <c r="Y122" s="30">
        <f t="shared" si="9"/>
        <v>-9.9774774774774588E-4</v>
      </c>
      <c r="Z122" s="30">
        <f t="shared" si="9"/>
        <v>5.3930530164536528E-4</v>
      </c>
      <c r="AA122" s="30">
        <f t="shared" si="10"/>
        <v>2.2608546779379068E-5</v>
      </c>
      <c r="AB122" s="30">
        <f t="shared" si="15"/>
        <v>-9.9859366730403742E-4</v>
      </c>
      <c r="AC122" s="30">
        <f t="shared" si="16"/>
        <v>5.3961465379170903E-4</v>
      </c>
      <c r="AD122" s="30">
        <f t="shared" si="13"/>
        <v>2.2608575854565771E-5</v>
      </c>
      <c r="AE122" s="30"/>
      <c r="AF122" s="30"/>
      <c r="AG122" s="30"/>
    </row>
    <row r="123" spans="1:33" x14ac:dyDescent="0.25">
      <c r="A123" s="9" t="s">
        <v>118</v>
      </c>
      <c r="B123" s="9" t="s">
        <v>424</v>
      </c>
      <c r="C123" s="9" t="s">
        <v>52</v>
      </c>
      <c r="D123" s="9" t="s">
        <v>324</v>
      </c>
      <c r="E123" s="9" t="s">
        <v>325</v>
      </c>
      <c r="F123" s="9" t="s">
        <v>243</v>
      </c>
      <c r="G123" s="9" t="s">
        <v>244</v>
      </c>
      <c r="H123" s="20">
        <v>2019000170</v>
      </c>
      <c r="I123" s="9" t="s">
        <v>88</v>
      </c>
      <c r="J123" s="14">
        <v>1570</v>
      </c>
      <c r="K123" s="2" t="s">
        <v>237</v>
      </c>
      <c r="L123" s="31">
        <v>35.46</v>
      </c>
      <c r="M123" s="31">
        <v>24.29</v>
      </c>
      <c r="N123" s="31">
        <v>15.18</v>
      </c>
      <c r="O123" s="18"/>
      <c r="P123" s="18"/>
      <c r="Q123" s="18"/>
      <c r="R123" s="18"/>
      <c r="S123" s="18"/>
      <c r="T123" s="18"/>
      <c r="U123" s="17"/>
      <c r="V123" s="17"/>
      <c r="W123" s="17"/>
      <c r="Y123" s="30"/>
      <c r="Z123" s="30"/>
      <c r="AA123" s="30"/>
      <c r="AB123" s="30"/>
      <c r="AC123" s="30"/>
      <c r="AD123" s="30"/>
      <c r="AE123" s="30"/>
      <c r="AF123" s="30"/>
      <c r="AG123" s="30"/>
    </row>
    <row r="124" spans="1:33" x14ac:dyDescent="0.25">
      <c r="A124" s="9" t="s">
        <v>118</v>
      </c>
      <c r="B124" s="9" t="s">
        <v>51</v>
      </c>
      <c r="C124" s="9" t="s">
        <v>52</v>
      </c>
      <c r="D124" s="9" t="s">
        <v>324</v>
      </c>
      <c r="E124" s="9" t="s">
        <v>325</v>
      </c>
      <c r="F124" s="9" t="s">
        <v>243</v>
      </c>
      <c r="G124" s="9" t="s">
        <v>244</v>
      </c>
      <c r="H124" s="20">
        <v>2019000170</v>
      </c>
      <c r="I124" s="9" t="s">
        <v>88</v>
      </c>
      <c r="J124" s="14">
        <v>1570</v>
      </c>
      <c r="K124" s="2" t="s">
        <v>238</v>
      </c>
      <c r="L124" s="31">
        <v>0</v>
      </c>
      <c r="M124" s="31">
        <v>0</v>
      </c>
      <c r="N124" s="31">
        <v>0</v>
      </c>
      <c r="O124" s="18"/>
      <c r="P124" s="18"/>
      <c r="Q124" s="18"/>
      <c r="R124" s="18"/>
      <c r="S124" s="18"/>
      <c r="T124" s="18"/>
      <c r="U124" s="17"/>
      <c r="V124" s="17"/>
      <c r="W124" s="17"/>
      <c r="Y124" s="30"/>
      <c r="Z124" s="30"/>
      <c r="AA124" s="30"/>
      <c r="AB124" s="30"/>
      <c r="AC124" s="30"/>
      <c r="AD124" s="30"/>
      <c r="AE124" s="30"/>
      <c r="AF124" s="30"/>
      <c r="AG124" s="30"/>
    </row>
    <row r="125" spans="1:33" x14ac:dyDescent="0.25">
      <c r="A125" s="9" t="s">
        <v>118</v>
      </c>
      <c r="B125" s="9" t="s">
        <v>51</v>
      </c>
      <c r="C125" s="9" t="s">
        <v>52</v>
      </c>
      <c r="D125" s="9" t="s">
        <v>324</v>
      </c>
      <c r="E125" s="9" t="s">
        <v>325</v>
      </c>
      <c r="F125" s="9" t="s">
        <v>243</v>
      </c>
      <c r="G125" s="9" t="s">
        <v>244</v>
      </c>
      <c r="H125" s="20">
        <v>2019000170</v>
      </c>
      <c r="I125" s="9" t="s">
        <v>88</v>
      </c>
      <c r="J125" s="14">
        <v>1570</v>
      </c>
      <c r="K125" s="2" t="s">
        <v>239</v>
      </c>
      <c r="L125" s="31">
        <v>47.558999999999997</v>
      </c>
      <c r="M125" s="31">
        <v>36.856000000000002</v>
      </c>
      <c r="N125" s="31">
        <v>20.411999999999999</v>
      </c>
      <c r="O125" s="18"/>
      <c r="P125" s="18"/>
      <c r="Q125" s="18"/>
      <c r="R125" s="18"/>
      <c r="S125" s="18"/>
      <c r="T125" s="18"/>
      <c r="U125" s="17"/>
      <c r="V125" s="17"/>
      <c r="W125" s="17"/>
      <c r="Y125" s="30"/>
      <c r="Z125" s="30"/>
      <c r="AA125" s="30"/>
      <c r="AB125" s="30"/>
      <c r="AC125" s="30"/>
      <c r="AD125" s="30"/>
      <c r="AE125" s="30"/>
      <c r="AF125" s="30"/>
      <c r="AG125" s="30"/>
    </row>
    <row r="126" spans="1:33" x14ac:dyDescent="0.25">
      <c r="A126" s="9" t="s">
        <v>118</v>
      </c>
      <c r="B126" s="9" t="s">
        <v>51</v>
      </c>
      <c r="C126" s="9" t="s">
        <v>52</v>
      </c>
      <c r="D126" s="9" t="s">
        <v>324</v>
      </c>
      <c r="E126" s="9" t="s">
        <v>325</v>
      </c>
      <c r="F126" s="9" t="s">
        <v>243</v>
      </c>
      <c r="G126" s="9" t="s">
        <v>244</v>
      </c>
      <c r="H126" s="20">
        <v>2019000170</v>
      </c>
      <c r="I126" s="9" t="s">
        <v>88</v>
      </c>
      <c r="J126" s="14">
        <v>1570</v>
      </c>
      <c r="K126" s="2" t="s">
        <v>240</v>
      </c>
      <c r="L126" s="31">
        <v>48692</v>
      </c>
      <c r="M126" s="31">
        <v>52929</v>
      </c>
      <c r="N126" s="31">
        <v>60626</v>
      </c>
      <c r="O126" s="18"/>
      <c r="P126" s="18"/>
      <c r="Q126" s="18"/>
      <c r="R126" s="18">
        <v>48692.181061416777</v>
      </c>
      <c r="S126" s="18">
        <v>52929.290890955665</v>
      </c>
      <c r="T126" s="18">
        <v>60626.178444921003</v>
      </c>
      <c r="U126" s="17"/>
      <c r="V126" s="17"/>
      <c r="W126" s="17"/>
      <c r="Y126" s="30"/>
      <c r="Z126" s="30"/>
      <c r="AA126" s="30"/>
      <c r="AB126" s="30">
        <f t="shared" si="15"/>
        <v>3.718504410832324E-6</v>
      </c>
      <c r="AC126" s="30">
        <f t="shared" si="16"/>
        <v>5.4958709907459991E-6</v>
      </c>
      <c r="AD126" s="30">
        <f t="shared" si="13"/>
        <v>2.9433728268024595E-6</v>
      </c>
      <c r="AE126" s="30"/>
      <c r="AF126" s="30"/>
      <c r="AG126" s="30"/>
    </row>
    <row r="127" spans="1:33" x14ac:dyDescent="0.25">
      <c r="A127" s="9" t="s">
        <v>119</v>
      </c>
      <c r="B127" s="9" t="s">
        <v>425</v>
      </c>
      <c r="C127" s="9" t="s">
        <v>54</v>
      </c>
      <c r="D127" s="9" t="s">
        <v>326</v>
      </c>
      <c r="E127" s="9" t="s">
        <v>327</v>
      </c>
      <c r="F127" s="9" t="s">
        <v>327</v>
      </c>
      <c r="G127" s="9" t="s">
        <v>236</v>
      </c>
      <c r="H127" s="9">
        <v>2007000824</v>
      </c>
      <c r="I127" s="9" t="s">
        <v>89</v>
      </c>
      <c r="J127" s="14">
        <v>1145</v>
      </c>
      <c r="K127" s="2" t="s">
        <v>237</v>
      </c>
      <c r="L127" s="31">
        <v>433</v>
      </c>
      <c r="M127" s="31">
        <v>451</v>
      </c>
      <c r="N127" s="31">
        <v>487</v>
      </c>
      <c r="O127" s="18">
        <v>433.48599999999999</v>
      </c>
      <c r="P127" s="18">
        <v>451.21600000000001</v>
      </c>
      <c r="Q127" s="18">
        <v>487.08100000000002</v>
      </c>
      <c r="R127" s="18"/>
      <c r="S127" s="18"/>
      <c r="T127" s="18"/>
      <c r="U127" s="17">
        <v>433.48599999999999</v>
      </c>
      <c r="V127" s="17">
        <v>451.21499999999997</v>
      </c>
      <c r="W127" s="17"/>
      <c r="Y127" s="30">
        <f t="shared" si="9"/>
        <v>1.1224018475750608E-3</v>
      </c>
      <c r="Z127" s="30">
        <f t="shared" si="9"/>
        <v>4.7893569844781325E-4</v>
      </c>
      <c r="AA127" s="30">
        <f t="shared" si="10"/>
        <v>1.663244353182769E-4</v>
      </c>
      <c r="AB127" s="30"/>
      <c r="AC127" s="30"/>
      <c r="AD127" s="30"/>
      <c r="AE127" s="30">
        <f t="shared" si="11"/>
        <v>1.1224018475750608E-3</v>
      </c>
      <c r="AF127" s="30">
        <f t="shared" si="12"/>
        <v>4.7671840354768236E-4</v>
      </c>
      <c r="AG127" s="30"/>
    </row>
    <row r="128" spans="1:33" x14ac:dyDescent="0.25">
      <c r="A128" s="9" t="s">
        <v>119</v>
      </c>
      <c r="B128" s="9" t="s">
        <v>53</v>
      </c>
      <c r="C128" s="9" t="s">
        <v>54</v>
      </c>
      <c r="D128" s="9" t="s">
        <v>326</v>
      </c>
      <c r="E128" s="9" t="s">
        <v>327</v>
      </c>
      <c r="F128" s="9" t="s">
        <v>327</v>
      </c>
      <c r="G128" s="9" t="s">
        <v>236</v>
      </c>
      <c r="H128" s="9">
        <v>2007000824</v>
      </c>
      <c r="I128" s="9" t="s">
        <v>89</v>
      </c>
      <c r="J128" s="14">
        <v>1145</v>
      </c>
      <c r="K128" s="2" t="s">
        <v>238</v>
      </c>
      <c r="L128" s="31">
        <v>0</v>
      </c>
      <c r="M128" s="31">
        <v>0</v>
      </c>
      <c r="N128" s="31">
        <v>0</v>
      </c>
      <c r="O128" s="18"/>
      <c r="P128" s="18"/>
      <c r="Q128" s="18"/>
      <c r="R128" s="18"/>
      <c r="S128" s="18"/>
      <c r="T128" s="18"/>
      <c r="U128" s="17">
        <v>0</v>
      </c>
      <c r="V128" s="17">
        <v>0</v>
      </c>
      <c r="W128" s="17"/>
      <c r="Y128" s="30"/>
      <c r="Z128" s="30"/>
      <c r="AA128" s="30"/>
      <c r="AB128" s="30"/>
      <c r="AC128" s="30"/>
      <c r="AD128" s="30"/>
      <c r="AE128" s="30"/>
      <c r="AF128" s="30"/>
      <c r="AG128" s="30"/>
    </row>
    <row r="129" spans="1:33" x14ac:dyDescent="0.25">
      <c r="A129" s="9" t="s">
        <v>119</v>
      </c>
      <c r="B129" s="9" t="s">
        <v>53</v>
      </c>
      <c r="C129" s="9" t="s">
        <v>54</v>
      </c>
      <c r="D129" s="9" t="s">
        <v>326</v>
      </c>
      <c r="E129" s="9" t="s">
        <v>327</v>
      </c>
      <c r="F129" s="9" t="s">
        <v>327</v>
      </c>
      <c r="G129" s="9" t="s">
        <v>236</v>
      </c>
      <c r="H129" s="9">
        <v>2007000824</v>
      </c>
      <c r="I129" s="9" t="s">
        <v>89</v>
      </c>
      <c r="J129" s="14">
        <v>1145</v>
      </c>
      <c r="K129" s="2" t="s">
        <v>239</v>
      </c>
      <c r="L129" s="31">
        <v>176</v>
      </c>
      <c r="M129" s="31">
        <v>104</v>
      </c>
      <c r="N129" s="31">
        <v>91</v>
      </c>
      <c r="O129" s="18"/>
      <c r="P129" s="18"/>
      <c r="Q129" s="18"/>
      <c r="R129" s="18"/>
      <c r="S129" s="18"/>
      <c r="T129" s="18"/>
      <c r="U129" s="17"/>
      <c r="V129" s="17"/>
      <c r="W129" s="17"/>
      <c r="Y129" s="30"/>
      <c r="Z129" s="30"/>
      <c r="AA129" s="30"/>
      <c r="AB129" s="30"/>
      <c r="AC129" s="30"/>
      <c r="AD129" s="30"/>
      <c r="AE129" s="30"/>
      <c r="AF129" s="30"/>
      <c r="AG129" s="30"/>
    </row>
    <row r="130" spans="1:33" x14ac:dyDescent="0.25">
      <c r="A130" s="9" t="s">
        <v>119</v>
      </c>
      <c r="B130" s="9" t="s">
        <v>53</v>
      </c>
      <c r="C130" s="9" t="s">
        <v>54</v>
      </c>
      <c r="D130" s="9" t="s">
        <v>326</v>
      </c>
      <c r="E130" s="9" t="s">
        <v>327</v>
      </c>
      <c r="F130" s="9" t="s">
        <v>327</v>
      </c>
      <c r="G130" s="9" t="s">
        <v>236</v>
      </c>
      <c r="H130" s="9">
        <v>2007000824</v>
      </c>
      <c r="I130" s="9" t="s">
        <v>89</v>
      </c>
      <c r="J130" s="14">
        <v>1145</v>
      </c>
      <c r="K130" s="2" t="s">
        <v>240</v>
      </c>
      <c r="L130" s="31">
        <v>1624111</v>
      </c>
      <c r="M130" s="31">
        <v>1559622</v>
      </c>
      <c r="N130" s="31">
        <v>1530614</v>
      </c>
      <c r="O130" s="18">
        <v>1624105.7320000001</v>
      </c>
      <c r="P130" s="18">
        <v>1559619.608</v>
      </c>
      <c r="Q130" s="18">
        <v>1530613.6869999999</v>
      </c>
      <c r="R130" s="18">
        <v>1624105.73198604</v>
      </c>
      <c r="S130" s="18">
        <v>1559621.6080382098</v>
      </c>
      <c r="T130" s="18">
        <v>1530613.6901410499</v>
      </c>
      <c r="U130" s="17"/>
      <c r="V130" s="17"/>
      <c r="W130" s="17"/>
      <c r="Y130" s="30">
        <f t="shared" si="9"/>
        <v>-3.2436206638397636E-6</v>
      </c>
      <c r="Z130" s="30">
        <f t="shared" si="9"/>
        <v>-1.5337049618091569E-6</v>
      </c>
      <c r="AA130" s="30">
        <f t="shared" si="10"/>
        <v>-2.0449309889869483E-7</v>
      </c>
      <c r="AB130" s="30">
        <f t="shared" si="15"/>
        <v>-3.2436292592974425E-6</v>
      </c>
      <c r="AC130" s="30">
        <f t="shared" si="16"/>
        <v>-2.5131845415859999E-7</v>
      </c>
      <c r="AD130" s="30">
        <f t="shared" si="13"/>
        <v>-2.0244094856014527E-7</v>
      </c>
      <c r="AE130" s="30"/>
      <c r="AF130" s="30"/>
      <c r="AG130" s="30"/>
    </row>
    <row r="131" spans="1:33" x14ac:dyDescent="0.25">
      <c r="A131" s="9" t="s">
        <v>120</v>
      </c>
      <c r="B131" s="9" t="s">
        <v>426</v>
      </c>
      <c r="C131" s="9" t="s">
        <v>56</v>
      </c>
      <c r="D131" s="9" t="s">
        <v>328</v>
      </c>
      <c r="E131" s="9" t="s">
        <v>329</v>
      </c>
      <c r="F131" s="9" t="s">
        <v>247</v>
      </c>
      <c r="G131" s="9" t="s">
        <v>248</v>
      </c>
      <c r="H131" s="9" t="s">
        <v>88</v>
      </c>
      <c r="I131" s="9" t="s">
        <v>89</v>
      </c>
      <c r="J131" s="14" t="s">
        <v>88</v>
      </c>
      <c r="K131" s="2" t="s">
        <v>237</v>
      </c>
      <c r="L131" s="31">
        <v>20.34047</v>
      </c>
      <c r="M131" s="31">
        <v>22.49681</v>
      </c>
      <c r="N131" s="31">
        <v>22.794090000000001</v>
      </c>
      <c r="O131" s="18"/>
      <c r="P131" s="18"/>
      <c r="Q131" s="18"/>
      <c r="R131" s="18"/>
      <c r="S131" s="18"/>
      <c r="T131" s="18"/>
      <c r="U131" s="17">
        <v>20.340499999999999</v>
      </c>
      <c r="V131" s="17">
        <v>22.49681</v>
      </c>
      <c r="W131" s="17"/>
      <c r="Y131" s="30"/>
      <c r="Z131" s="30"/>
      <c r="AA131" s="30"/>
      <c r="AB131" s="30"/>
      <c r="AC131" s="30"/>
      <c r="AD131" s="30"/>
      <c r="AE131" s="30">
        <f t="shared" si="11"/>
        <v>1.4748921730589615E-6</v>
      </c>
      <c r="AF131" s="30">
        <f t="shared" si="12"/>
        <v>0</v>
      </c>
      <c r="AG131" s="30"/>
    </row>
    <row r="132" spans="1:33" x14ac:dyDescent="0.25">
      <c r="A132" s="9" t="s">
        <v>120</v>
      </c>
      <c r="B132" s="9" t="s">
        <v>55</v>
      </c>
      <c r="C132" s="9" t="s">
        <v>56</v>
      </c>
      <c r="D132" s="9" t="s">
        <v>328</v>
      </c>
      <c r="E132" s="9" t="s">
        <v>329</v>
      </c>
      <c r="F132" s="9" t="s">
        <v>247</v>
      </c>
      <c r="G132" s="9" t="s">
        <v>248</v>
      </c>
      <c r="H132" s="9" t="s">
        <v>88</v>
      </c>
      <c r="I132" s="9" t="s">
        <v>89</v>
      </c>
      <c r="J132" s="14" t="s">
        <v>88</v>
      </c>
      <c r="K132" s="2" t="s">
        <v>238</v>
      </c>
      <c r="L132" s="47">
        <v>0.74219999999999997</v>
      </c>
      <c r="M132" s="47">
        <v>0.94599999999999995</v>
      </c>
      <c r="N132" s="47">
        <v>0.75629999999999997</v>
      </c>
      <c r="O132" s="18"/>
      <c r="P132" s="18"/>
      <c r="Q132" s="18"/>
      <c r="R132" s="18"/>
      <c r="S132" s="18"/>
      <c r="T132" s="18"/>
      <c r="U132" s="17">
        <v>0.74229999999999985</v>
      </c>
      <c r="V132" s="17">
        <v>0.94609999999999994</v>
      </c>
      <c r="W132" s="17"/>
      <c r="Y132" s="30"/>
      <c r="Z132" s="30"/>
      <c r="AA132" s="30"/>
      <c r="AB132" s="30"/>
      <c r="AC132" s="30"/>
      <c r="AD132" s="30"/>
      <c r="AE132" s="30">
        <f t="shared" ref="AE132:AE195" si="17">(U132/L132)-1</f>
        <v>1.3473457289125967E-4</v>
      </c>
      <c r="AF132" s="30">
        <f t="shared" ref="AF132:AF195" si="18">(V132/M132)-1</f>
        <v>1.0570824524314126E-4</v>
      </c>
      <c r="AG132" s="30"/>
    </row>
    <row r="133" spans="1:33" x14ac:dyDescent="0.25">
      <c r="A133" s="9" t="s">
        <v>120</v>
      </c>
      <c r="B133" s="9" t="s">
        <v>55</v>
      </c>
      <c r="C133" s="9" t="s">
        <v>56</v>
      </c>
      <c r="D133" s="9" t="s">
        <v>328</v>
      </c>
      <c r="E133" s="9" t="s">
        <v>329</v>
      </c>
      <c r="F133" s="9" t="s">
        <v>247</v>
      </c>
      <c r="G133" s="9" t="s">
        <v>248</v>
      </c>
      <c r="H133" s="9" t="s">
        <v>88</v>
      </c>
      <c r="I133" s="9" t="s">
        <v>89</v>
      </c>
      <c r="J133" s="14" t="s">
        <v>88</v>
      </c>
      <c r="K133" s="2" t="s">
        <v>239</v>
      </c>
      <c r="L133" s="17">
        <v>20.904499999999999</v>
      </c>
      <c r="M133" s="17">
        <v>26.302800000000001</v>
      </c>
      <c r="N133" s="17">
        <v>16.5579</v>
      </c>
      <c r="O133" s="18"/>
      <c r="P133" s="18"/>
      <c r="Q133" s="18"/>
      <c r="R133" s="18"/>
      <c r="S133" s="18"/>
      <c r="T133" s="18"/>
      <c r="U133" s="17"/>
      <c r="V133" s="17"/>
      <c r="W133" s="17"/>
      <c r="Y133" s="30"/>
      <c r="Z133" s="30"/>
      <c r="AA133" s="30"/>
      <c r="AB133" s="30"/>
      <c r="AC133" s="30"/>
      <c r="AD133" s="30"/>
      <c r="AE133" s="30"/>
      <c r="AF133" s="30"/>
      <c r="AG133" s="30"/>
    </row>
    <row r="134" spans="1:33" x14ac:dyDescent="0.25">
      <c r="A134" s="9" t="s">
        <v>120</v>
      </c>
      <c r="B134" s="9" t="s">
        <v>55</v>
      </c>
      <c r="C134" s="9" t="s">
        <v>56</v>
      </c>
      <c r="D134" s="9" t="s">
        <v>328</v>
      </c>
      <c r="E134" s="9" t="s">
        <v>329</v>
      </c>
      <c r="F134" s="9" t="s">
        <v>247</v>
      </c>
      <c r="G134" s="9" t="s">
        <v>248</v>
      </c>
      <c r="H134" s="9" t="s">
        <v>88</v>
      </c>
      <c r="I134" s="9" t="s">
        <v>89</v>
      </c>
      <c r="J134" s="14" t="s">
        <v>88</v>
      </c>
      <c r="K134" s="2" t="s">
        <v>240</v>
      </c>
      <c r="L134" s="33">
        <v>66134.990000000005</v>
      </c>
      <c r="M134" s="33">
        <v>77884.7</v>
      </c>
      <c r="N134" s="33">
        <v>72087.570000000007</v>
      </c>
      <c r="O134" s="18"/>
      <c r="P134" s="18"/>
      <c r="Q134" s="18"/>
      <c r="R134" s="18"/>
      <c r="S134" s="18"/>
      <c r="T134" s="18"/>
      <c r="U134" s="17"/>
      <c r="V134" s="17"/>
      <c r="W134" s="17"/>
      <c r="Y134" s="30"/>
      <c r="Z134" s="30"/>
      <c r="AA134" s="30"/>
      <c r="AB134" s="30"/>
      <c r="AC134" s="30"/>
      <c r="AD134" s="30"/>
      <c r="AE134" s="30"/>
      <c r="AF134" s="30"/>
      <c r="AG134" s="30"/>
    </row>
    <row r="135" spans="1:33" x14ac:dyDescent="0.25">
      <c r="A135" s="9" t="s">
        <v>121</v>
      </c>
      <c r="B135" s="9" t="s">
        <v>427</v>
      </c>
      <c r="C135" s="9" t="s">
        <v>58</v>
      </c>
      <c r="D135" s="9" t="s">
        <v>330</v>
      </c>
      <c r="E135" s="9" t="s">
        <v>331</v>
      </c>
      <c r="F135" s="9" t="s">
        <v>331</v>
      </c>
      <c r="G135" s="9" t="s">
        <v>332</v>
      </c>
      <c r="H135" s="9">
        <v>2011000019</v>
      </c>
      <c r="I135" s="9" t="s">
        <v>89</v>
      </c>
      <c r="J135" s="14">
        <v>758</v>
      </c>
      <c r="K135" s="2" t="s">
        <v>237</v>
      </c>
      <c r="L135" s="31">
        <v>1891.3000000000002</v>
      </c>
      <c r="M135" s="31">
        <v>2024.5</v>
      </c>
      <c r="N135" s="31">
        <v>1485.6999999999998</v>
      </c>
      <c r="O135" s="18">
        <v>1891.33</v>
      </c>
      <c r="P135" s="18">
        <v>2024.53</v>
      </c>
      <c r="Q135" s="18">
        <v>1485.65</v>
      </c>
      <c r="R135" s="18"/>
      <c r="S135" s="18"/>
      <c r="T135" s="18"/>
      <c r="U135" s="17">
        <v>1890.7</v>
      </c>
      <c r="V135" s="17">
        <v>2024.5</v>
      </c>
      <c r="W135" s="17"/>
      <c r="Y135" s="30">
        <f t="shared" ref="Y135:Z195" si="19">(O135/L135)-1</f>
        <v>1.5862105430031193E-5</v>
      </c>
      <c r="Z135" s="30">
        <f t="shared" si="19"/>
        <v>1.4818473697220114E-5</v>
      </c>
      <c r="AA135" s="30">
        <f t="shared" ref="AA135:AA198" si="20">(Q135/N135)-1</f>
        <v>-3.3654169751429208E-5</v>
      </c>
      <c r="AB135" s="30"/>
      <c r="AC135" s="30"/>
      <c r="AD135" s="30"/>
      <c r="AE135" s="30">
        <f t="shared" si="17"/>
        <v>-3.1724210860262225E-4</v>
      </c>
      <c r="AF135" s="30">
        <f t="shared" si="18"/>
        <v>0</v>
      </c>
      <c r="AG135" s="30"/>
    </row>
    <row r="136" spans="1:33" x14ac:dyDescent="0.25">
      <c r="A136" s="9" t="s">
        <v>121</v>
      </c>
      <c r="B136" s="9" t="s">
        <v>57</v>
      </c>
      <c r="C136" s="9" t="s">
        <v>58</v>
      </c>
      <c r="D136" s="9" t="s">
        <v>330</v>
      </c>
      <c r="E136" s="9" t="s">
        <v>331</v>
      </c>
      <c r="F136" s="9" t="s">
        <v>331</v>
      </c>
      <c r="G136" s="9" t="s">
        <v>332</v>
      </c>
      <c r="H136" s="9">
        <v>2011000019</v>
      </c>
      <c r="I136" s="9" t="s">
        <v>89</v>
      </c>
      <c r="J136" s="14">
        <v>758</v>
      </c>
      <c r="K136" s="2" t="s">
        <v>238</v>
      </c>
      <c r="L136" s="31">
        <v>975.09999999999991</v>
      </c>
      <c r="M136" s="31">
        <v>1137.5</v>
      </c>
      <c r="N136" s="31">
        <v>972.4</v>
      </c>
      <c r="O136" s="18">
        <v>975.14</v>
      </c>
      <c r="P136" s="18">
        <v>1137.521</v>
      </c>
      <c r="Q136" s="18">
        <v>972.375</v>
      </c>
      <c r="R136" s="18"/>
      <c r="S136" s="18"/>
      <c r="T136" s="18"/>
      <c r="U136" s="17">
        <v>975.1</v>
      </c>
      <c r="V136" s="17">
        <v>1137.4000000000001</v>
      </c>
      <c r="W136" s="17"/>
      <c r="Y136" s="30">
        <f t="shared" si="19"/>
        <v>4.1021433699217624E-5</v>
      </c>
      <c r="Z136" s="30">
        <f t="shared" si="19"/>
        <v>1.8461538461522764E-5</v>
      </c>
      <c r="AA136" s="30">
        <f t="shared" si="20"/>
        <v>-2.5709584533073482E-5</v>
      </c>
      <c r="AB136" s="30"/>
      <c r="AC136" s="30"/>
      <c r="AD136" s="30"/>
      <c r="AE136" s="30">
        <f t="shared" si="17"/>
        <v>0</v>
      </c>
      <c r="AF136" s="30">
        <f t="shared" si="18"/>
        <v>-8.7912087912034309E-5</v>
      </c>
      <c r="AG136" s="30"/>
    </row>
    <row r="137" spans="1:33" x14ac:dyDescent="0.25">
      <c r="A137" s="9" t="s">
        <v>121</v>
      </c>
      <c r="B137" s="9" t="s">
        <v>57</v>
      </c>
      <c r="C137" s="9" t="s">
        <v>58</v>
      </c>
      <c r="D137" s="9" t="s">
        <v>330</v>
      </c>
      <c r="E137" s="9" t="s">
        <v>331</v>
      </c>
      <c r="F137" s="9" t="s">
        <v>331</v>
      </c>
      <c r="G137" s="9" t="s">
        <v>332</v>
      </c>
      <c r="H137" s="9">
        <v>2011000019</v>
      </c>
      <c r="I137" s="9" t="s">
        <v>89</v>
      </c>
      <c r="J137" s="14">
        <v>758</v>
      </c>
      <c r="K137" s="2" t="s">
        <v>239</v>
      </c>
      <c r="L137" s="31">
        <v>124.5</v>
      </c>
      <c r="M137" s="31">
        <v>176.20000000000002</v>
      </c>
      <c r="N137" s="31">
        <v>118.19999999999999</v>
      </c>
      <c r="O137" s="18"/>
      <c r="P137" s="18"/>
      <c r="Q137" s="18"/>
      <c r="R137" s="18"/>
      <c r="S137" s="18"/>
      <c r="T137" s="18"/>
      <c r="U137" s="17"/>
      <c r="V137" s="17"/>
      <c r="W137" s="17"/>
      <c r="Y137" s="30"/>
      <c r="Z137" s="30"/>
      <c r="AA137" s="30"/>
      <c r="AB137" s="30"/>
      <c r="AC137" s="30"/>
      <c r="AD137" s="30"/>
      <c r="AE137" s="30"/>
      <c r="AF137" s="30"/>
      <c r="AG137" s="30"/>
    </row>
    <row r="138" spans="1:33" x14ac:dyDescent="0.25">
      <c r="A138" s="9" t="s">
        <v>121</v>
      </c>
      <c r="B138" s="9" t="s">
        <v>57</v>
      </c>
      <c r="C138" s="9" t="s">
        <v>58</v>
      </c>
      <c r="D138" s="9" t="s">
        <v>330</v>
      </c>
      <c r="E138" s="9" t="s">
        <v>331</v>
      </c>
      <c r="F138" s="9" t="s">
        <v>331</v>
      </c>
      <c r="G138" s="9" t="s">
        <v>332</v>
      </c>
      <c r="H138" s="9">
        <v>2011000019</v>
      </c>
      <c r="I138" s="9" t="s">
        <v>89</v>
      </c>
      <c r="J138" s="14">
        <v>758</v>
      </c>
      <c r="K138" s="2" t="s">
        <v>240</v>
      </c>
      <c r="L138" s="31">
        <v>4968765</v>
      </c>
      <c r="M138" s="31">
        <v>4693674</v>
      </c>
      <c r="N138" s="31">
        <v>4351677</v>
      </c>
      <c r="O138" s="18">
        <v>4968764</v>
      </c>
      <c r="P138" s="18">
        <v>4693674</v>
      </c>
      <c r="Q138" s="18">
        <v>4351677</v>
      </c>
      <c r="R138" s="18">
        <v>4968764.2197402949</v>
      </c>
      <c r="S138" s="18">
        <v>4693673.9311323501</v>
      </c>
      <c r="T138" s="18">
        <v>4351676.8886378501</v>
      </c>
      <c r="U138" s="17"/>
      <c r="V138" s="17"/>
      <c r="W138" s="17"/>
      <c r="Y138" s="30">
        <f t="shared" si="19"/>
        <v>-2.0125725408437489E-7</v>
      </c>
      <c r="Z138" s="30">
        <f t="shared" si="19"/>
        <v>0</v>
      </c>
      <c r="AA138" s="30">
        <f t="shared" si="20"/>
        <v>0</v>
      </c>
      <c r="AB138" s="30">
        <f t="shared" ref="AB138:AB198" si="21">(R138/L138)-1</f>
        <v>-1.5703292566282556E-7</v>
      </c>
      <c r="AC138" s="30">
        <f t="shared" ref="AC138:AC198" si="22">(S138/M138)-1</f>
        <v>-1.4672439929697134E-8</v>
      </c>
      <c r="AD138" s="30">
        <f t="shared" ref="AD138:AD198" si="23">(T138/N138)-1</f>
        <v>-2.559062861617889E-8</v>
      </c>
      <c r="AE138" s="30"/>
      <c r="AF138" s="30"/>
      <c r="AG138" s="30"/>
    </row>
    <row r="139" spans="1:33" x14ac:dyDescent="0.25">
      <c r="A139" s="9" t="s">
        <v>122</v>
      </c>
      <c r="B139" s="9" t="s">
        <v>428</v>
      </c>
      <c r="C139" s="9" t="s">
        <v>60</v>
      </c>
      <c r="D139" s="9" t="s">
        <v>333</v>
      </c>
      <c r="E139" s="9" t="s">
        <v>334</v>
      </c>
      <c r="F139" s="9" t="s">
        <v>334</v>
      </c>
      <c r="G139" s="9" t="s">
        <v>276</v>
      </c>
      <c r="H139" s="9">
        <v>2007001108</v>
      </c>
      <c r="I139" s="9" t="s">
        <v>89</v>
      </c>
      <c r="J139" s="14">
        <v>52</v>
      </c>
      <c r="K139" s="2" t="s">
        <v>237</v>
      </c>
      <c r="L139" s="31">
        <v>122</v>
      </c>
      <c r="M139" s="31">
        <v>74</v>
      </c>
      <c r="N139" s="31">
        <v>45</v>
      </c>
      <c r="O139" s="18"/>
      <c r="P139" s="18"/>
      <c r="Q139" s="18"/>
      <c r="R139" s="18"/>
      <c r="S139" s="18"/>
      <c r="T139" s="18"/>
      <c r="U139" s="17">
        <v>122</v>
      </c>
      <c r="V139" s="17">
        <v>74</v>
      </c>
      <c r="W139" s="17"/>
      <c r="Y139" s="30"/>
      <c r="Z139" s="30"/>
      <c r="AA139" s="30"/>
      <c r="AB139" s="30"/>
      <c r="AC139" s="30"/>
      <c r="AD139" s="30"/>
      <c r="AE139" s="30">
        <f t="shared" si="17"/>
        <v>0</v>
      </c>
      <c r="AF139" s="30">
        <f t="shared" si="18"/>
        <v>0</v>
      </c>
      <c r="AG139" s="30"/>
    </row>
    <row r="140" spans="1:33" x14ac:dyDescent="0.25">
      <c r="A140" s="9" t="s">
        <v>122</v>
      </c>
      <c r="B140" s="9" t="s">
        <v>59</v>
      </c>
      <c r="C140" s="9" t="s">
        <v>60</v>
      </c>
      <c r="D140" s="9" t="s">
        <v>333</v>
      </c>
      <c r="E140" s="9" t="s">
        <v>334</v>
      </c>
      <c r="F140" s="9" t="s">
        <v>334</v>
      </c>
      <c r="G140" s="9" t="s">
        <v>276</v>
      </c>
      <c r="H140" s="9">
        <v>2007001108</v>
      </c>
      <c r="I140" s="9" t="s">
        <v>89</v>
      </c>
      <c r="J140" s="14">
        <v>52</v>
      </c>
      <c r="K140" s="2" t="s">
        <v>238</v>
      </c>
      <c r="L140" s="31">
        <v>0</v>
      </c>
      <c r="M140" s="31">
        <v>0</v>
      </c>
      <c r="N140" s="31">
        <v>0</v>
      </c>
      <c r="O140" s="18"/>
      <c r="P140" s="18"/>
      <c r="Q140" s="18"/>
      <c r="R140" s="18"/>
      <c r="S140" s="18"/>
      <c r="T140" s="18"/>
      <c r="U140" s="17">
        <v>0</v>
      </c>
      <c r="V140" s="17">
        <v>0</v>
      </c>
      <c r="W140" s="17"/>
      <c r="Y140" s="30"/>
      <c r="Z140" s="30"/>
      <c r="AA140" s="30"/>
      <c r="AB140" s="30"/>
      <c r="AC140" s="30"/>
      <c r="AD140" s="30"/>
      <c r="AE140" s="30"/>
      <c r="AF140" s="30"/>
      <c r="AG140" s="30"/>
    </row>
    <row r="141" spans="1:33" x14ac:dyDescent="0.25">
      <c r="A141" s="9" t="s">
        <v>122</v>
      </c>
      <c r="B141" s="9" t="s">
        <v>59</v>
      </c>
      <c r="C141" s="9" t="s">
        <v>60</v>
      </c>
      <c r="D141" s="9" t="s">
        <v>333</v>
      </c>
      <c r="E141" s="9" t="s">
        <v>334</v>
      </c>
      <c r="F141" s="9" t="s">
        <v>334</v>
      </c>
      <c r="G141" s="9" t="s">
        <v>276</v>
      </c>
      <c r="H141" s="9">
        <v>2007001108</v>
      </c>
      <c r="I141" s="9" t="s">
        <v>89</v>
      </c>
      <c r="J141" s="14">
        <v>52</v>
      </c>
      <c r="K141" s="2" t="s">
        <v>239</v>
      </c>
      <c r="L141" s="31">
        <v>3</v>
      </c>
      <c r="M141" s="31">
        <v>5</v>
      </c>
      <c r="N141" s="31">
        <v>3</v>
      </c>
      <c r="O141" s="18"/>
      <c r="P141" s="18"/>
      <c r="Q141" s="18"/>
      <c r="R141" s="18"/>
      <c r="S141" s="18"/>
      <c r="T141" s="18"/>
      <c r="U141" s="17"/>
      <c r="V141" s="17"/>
      <c r="W141" s="17"/>
      <c r="Y141" s="30"/>
      <c r="Z141" s="30"/>
      <c r="AA141" s="30"/>
      <c r="AB141" s="30"/>
      <c r="AC141" s="30"/>
      <c r="AD141" s="30"/>
      <c r="AE141" s="30"/>
      <c r="AF141" s="30"/>
      <c r="AG141" s="30"/>
    </row>
    <row r="142" spans="1:33" x14ac:dyDescent="0.25">
      <c r="A142" s="9" t="s">
        <v>122</v>
      </c>
      <c r="B142" s="9" t="s">
        <v>59</v>
      </c>
      <c r="C142" s="9" t="s">
        <v>60</v>
      </c>
      <c r="D142" s="9" t="s">
        <v>333</v>
      </c>
      <c r="E142" s="9" t="s">
        <v>334</v>
      </c>
      <c r="F142" s="9" t="s">
        <v>334</v>
      </c>
      <c r="G142" s="9" t="s">
        <v>276</v>
      </c>
      <c r="H142" s="9">
        <v>2007001108</v>
      </c>
      <c r="I142" s="9" t="s">
        <v>89</v>
      </c>
      <c r="J142" s="14">
        <v>52</v>
      </c>
      <c r="K142" s="2" t="s">
        <v>240</v>
      </c>
      <c r="L142" s="31">
        <v>321088</v>
      </c>
      <c r="M142" s="31">
        <v>316040</v>
      </c>
      <c r="N142" s="31">
        <v>296297</v>
      </c>
      <c r="O142" s="18">
        <v>321086</v>
      </c>
      <c r="P142" s="18">
        <v>316040</v>
      </c>
      <c r="Q142" s="18">
        <v>296297</v>
      </c>
      <c r="R142" s="18">
        <v>321088.22820148536</v>
      </c>
      <c r="S142" s="18">
        <v>316040.2147608659</v>
      </c>
      <c r="T142" s="18">
        <v>296302.81035297358</v>
      </c>
      <c r="U142" s="17"/>
      <c r="V142" s="17"/>
      <c r="W142" s="17"/>
      <c r="Y142" s="30">
        <f t="shared" si="19"/>
        <v>-6.2288220051831544E-6</v>
      </c>
      <c r="Z142" s="30">
        <f t="shared" si="19"/>
        <v>0</v>
      </c>
      <c r="AA142" s="30">
        <f t="shared" si="20"/>
        <v>0</v>
      </c>
      <c r="AB142" s="30">
        <f t="shared" si="21"/>
        <v>7.1071321672278032E-7</v>
      </c>
      <c r="AC142" s="30">
        <f t="shared" si="22"/>
        <v>6.7953697602263219E-7</v>
      </c>
      <c r="AD142" s="30">
        <f t="shared" si="23"/>
        <v>1.9609894712280251E-5</v>
      </c>
      <c r="AE142" s="30"/>
      <c r="AF142" s="30"/>
      <c r="AG142" s="30"/>
    </row>
    <row r="143" spans="1:33" x14ac:dyDescent="0.25">
      <c r="A143" s="9" t="s">
        <v>123</v>
      </c>
      <c r="B143" s="9" t="s">
        <v>429</v>
      </c>
      <c r="C143" s="9" t="s">
        <v>62</v>
      </c>
      <c r="D143" s="9" t="s">
        <v>335</v>
      </c>
      <c r="E143" s="9" t="s">
        <v>336</v>
      </c>
      <c r="F143" s="9" t="s">
        <v>337</v>
      </c>
      <c r="G143" s="9" t="s">
        <v>332</v>
      </c>
      <c r="H143" s="21">
        <v>2010000192</v>
      </c>
      <c r="I143" s="9" t="s">
        <v>89</v>
      </c>
      <c r="J143" s="14">
        <v>1621</v>
      </c>
      <c r="K143" s="2" t="s">
        <v>237</v>
      </c>
      <c r="L143" s="31">
        <v>189.98</v>
      </c>
      <c r="M143" s="31">
        <v>174.57</v>
      </c>
      <c r="N143" s="31">
        <v>127.91</v>
      </c>
      <c r="O143" s="17">
        <v>190</v>
      </c>
      <c r="P143" s="17">
        <v>174.57</v>
      </c>
      <c r="Q143" s="17"/>
      <c r="R143" s="18"/>
      <c r="S143" s="18"/>
      <c r="T143" s="18"/>
      <c r="U143" s="17">
        <v>189.98</v>
      </c>
      <c r="V143" s="17">
        <v>174.57</v>
      </c>
      <c r="W143" s="17"/>
      <c r="Y143" s="30">
        <f t="shared" si="19"/>
        <v>1.052742393936601E-4</v>
      </c>
      <c r="Z143" s="30">
        <f t="shared" si="19"/>
        <v>0</v>
      </c>
      <c r="AA143" s="30"/>
      <c r="AB143" s="30"/>
      <c r="AC143" s="30"/>
      <c r="AD143" s="30"/>
      <c r="AE143" s="30">
        <f t="shared" si="17"/>
        <v>0</v>
      </c>
      <c r="AF143" s="30">
        <f t="shared" si="18"/>
        <v>0</v>
      </c>
      <c r="AG143" s="30"/>
    </row>
    <row r="144" spans="1:33" x14ac:dyDescent="0.25">
      <c r="A144" s="9" t="s">
        <v>123</v>
      </c>
      <c r="B144" s="9" t="s">
        <v>61</v>
      </c>
      <c r="C144" s="9" t="s">
        <v>62</v>
      </c>
      <c r="D144" s="9" t="s">
        <v>335</v>
      </c>
      <c r="E144" s="9" t="s">
        <v>336</v>
      </c>
      <c r="F144" s="9" t="s">
        <v>337</v>
      </c>
      <c r="G144" s="9" t="s">
        <v>332</v>
      </c>
      <c r="H144" s="21">
        <v>2010000192</v>
      </c>
      <c r="I144" s="9" t="s">
        <v>89</v>
      </c>
      <c r="J144" s="14">
        <v>1621</v>
      </c>
      <c r="K144" s="2" t="s">
        <v>238</v>
      </c>
      <c r="L144" s="31">
        <v>0</v>
      </c>
      <c r="M144" s="31">
        <v>0</v>
      </c>
      <c r="N144" s="31">
        <v>0</v>
      </c>
      <c r="O144" s="18"/>
      <c r="P144" s="18"/>
      <c r="Q144" s="18"/>
      <c r="R144" s="18"/>
      <c r="S144" s="18"/>
      <c r="T144" s="18"/>
      <c r="U144" s="17">
        <v>22.466000000000001</v>
      </c>
      <c r="V144" s="17">
        <v>31.445</v>
      </c>
      <c r="W144" s="17"/>
      <c r="Y144" s="30"/>
      <c r="Z144" s="30"/>
      <c r="AA144" s="30"/>
      <c r="AB144" s="30"/>
      <c r="AC144" s="30"/>
      <c r="AD144" s="30"/>
      <c r="AE144" s="30"/>
      <c r="AF144" s="30"/>
      <c r="AG144" s="30"/>
    </row>
    <row r="145" spans="1:34" x14ac:dyDescent="0.25">
      <c r="A145" s="9" t="s">
        <v>123</v>
      </c>
      <c r="B145" s="9" t="s">
        <v>61</v>
      </c>
      <c r="C145" s="9" t="s">
        <v>62</v>
      </c>
      <c r="D145" s="9" t="s">
        <v>335</v>
      </c>
      <c r="E145" s="9" t="s">
        <v>336</v>
      </c>
      <c r="F145" s="9" t="s">
        <v>337</v>
      </c>
      <c r="G145" s="9" t="s">
        <v>332</v>
      </c>
      <c r="H145" s="21">
        <v>2010000192</v>
      </c>
      <c r="I145" s="9" t="s">
        <v>89</v>
      </c>
      <c r="J145" s="14">
        <v>1621</v>
      </c>
      <c r="K145" s="2" t="s">
        <v>239</v>
      </c>
      <c r="L145" s="31">
        <v>162.18</v>
      </c>
      <c r="M145" s="31">
        <v>150.6</v>
      </c>
      <c r="N145" s="31">
        <v>26.86</v>
      </c>
      <c r="O145" s="18"/>
      <c r="P145" s="18"/>
      <c r="Q145" s="18"/>
      <c r="R145" s="18"/>
      <c r="S145" s="18"/>
      <c r="T145" s="18"/>
      <c r="U145" s="17"/>
      <c r="V145" s="17"/>
      <c r="W145" s="17"/>
      <c r="Y145" s="30"/>
      <c r="Z145" s="30"/>
      <c r="AA145" s="30"/>
      <c r="AB145" s="30"/>
      <c r="AC145" s="30"/>
      <c r="AD145" s="30"/>
      <c r="AE145" s="30"/>
      <c r="AF145" s="30"/>
      <c r="AG145" s="30"/>
    </row>
    <row r="146" spans="1:34" x14ac:dyDescent="0.25">
      <c r="A146" s="9" t="s">
        <v>123</v>
      </c>
      <c r="B146" s="9" t="s">
        <v>61</v>
      </c>
      <c r="C146" s="9" t="s">
        <v>62</v>
      </c>
      <c r="D146" s="9" t="s">
        <v>335</v>
      </c>
      <c r="E146" s="9" t="s">
        <v>336</v>
      </c>
      <c r="F146" s="9" t="s">
        <v>337</v>
      </c>
      <c r="G146" s="9" t="s">
        <v>332</v>
      </c>
      <c r="H146" s="21">
        <v>2010000192</v>
      </c>
      <c r="I146" s="9" t="s">
        <v>89</v>
      </c>
      <c r="J146" s="14">
        <v>1621</v>
      </c>
      <c r="K146" s="2" t="s">
        <v>240</v>
      </c>
      <c r="L146" s="31">
        <v>709308</v>
      </c>
      <c r="M146" s="31">
        <v>636518</v>
      </c>
      <c r="N146" s="31">
        <v>499051</v>
      </c>
      <c r="O146" s="18">
        <v>709306</v>
      </c>
      <c r="P146" s="18">
        <v>636518</v>
      </c>
      <c r="Q146" s="18">
        <v>499055</v>
      </c>
      <c r="R146" s="18">
        <v>709306.21514346555</v>
      </c>
      <c r="S146" s="18">
        <v>636514.4009777233</v>
      </c>
      <c r="T146" s="18">
        <v>499052.88258829998</v>
      </c>
      <c r="U146" s="17"/>
      <c r="V146" s="17"/>
      <c r="W146" s="17"/>
      <c r="Y146" s="30">
        <f t="shared" si="19"/>
        <v>-2.8196495739374328E-6</v>
      </c>
      <c r="Z146" s="30">
        <f t="shared" si="19"/>
        <v>0</v>
      </c>
      <c r="AA146" s="30">
        <f t="shared" si="20"/>
        <v>8.0152128740795803E-6</v>
      </c>
      <c r="AB146" s="30">
        <f t="shared" si="21"/>
        <v>-2.5163349834933513E-6</v>
      </c>
      <c r="AC146" s="30">
        <f t="shared" si="22"/>
        <v>-5.6542348789712094E-6</v>
      </c>
      <c r="AD146" s="30">
        <f t="shared" si="23"/>
        <v>3.7723364947339633E-6</v>
      </c>
      <c r="AE146" s="30"/>
      <c r="AF146" s="30"/>
      <c r="AG146" s="30"/>
    </row>
    <row r="147" spans="1:34" x14ac:dyDescent="0.25">
      <c r="A147" s="9" t="s">
        <v>124</v>
      </c>
      <c r="B147" s="9" t="s">
        <v>430</v>
      </c>
      <c r="C147" s="9" t="s">
        <v>64</v>
      </c>
      <c r="D147" s="9" t="s">
        <v>338</v>
      </c>
      <c r="E147" s="9" t="s">
        <v>339</v>
      </c>
      <c r="F147" s="9" t="s">
        <v>340</v>
      </c>
      <c r="G147" s="9" t="s">
        <v>332</v>
      </c>
      <c r="H147" s="9">
        <v>2010000232</v>
      </c>
      <c r="I147" s="9" t="s">
        <v>89</v>
      </c>
      <c r="J147" s="14">
        <v>1257</v>
      </c>
      <c r="K147" s="2" t="s">
        <v>237</v>
      </c>
      <c r="L147" s="31">
        <v>101.179</v>
      </c>
      <c r="M147" s="31">
        <v>60.006</v>
      </c>
      <c r="N147" s="31">
        <v>118.68600000000001</v>
      </c>
      <c r="O147" s="18">
        <v>101.1789</v>
      </c>
      <c r="P147" s="18"/>
      <c r="Q147" s="18">
        <v>111.5137</v>
      </c>
      <c r="R147" s="18"/>
      <c r="S147" s="18"/>
      <c r="T147" s="18"/>
      <c r="U147" s="17">
        <v>101</v>
      </c>
      <c r="V147" s="17">
        <v>60</v>
      </c>
      <c r="W147" s="17"/>
      <c r="Y147" s="30">
        <f t="shared" si="19"/>
        <v>-9.8834738437858505E-7</v>
      </c>
      <c r="Z147" s="30"/>
      <c r="AA147" s="39">
        <f t="shared" si="20"/>
        <v>-6.0430884855838141E-2</v>
      </c>
      <c r="AB147" s="30"/>
      <c r="AC147" s="30"/>
      <c r="AD147" s="30"/>
      <c r="AE147" s="30">
        <f t="shared" si="17"/>
        <v>-1.7691418179661689E-3</v>
      </c>
      <c r="AF147" s="30">
        <f t="shared" si="18"/>
        <v>-9.9990000999916617E-5</v>
      </c>
      <c r="AG147" s="30"/>
    </row>
    <row r="148" spans="1:34" x14ac:dyDescent="0.25">
      <c r="A148" s="9" t="s">
        <v>124</v>
      </c>
      <c r="B148" s="9" t="s">
        <v>63</v>
      </c>
      <c r="C148" s="9" t="s">
        <v>64</v>
      </c>
      <c r="D148" s="9" t="s">
        <v>338</v>
      </c>
      <c r="E148" s="9" t="s">
        <v>339</v>
      </c>
      <c r="F148" s="9" t="s">
        <v>340</v>
      </c>
      <c r="G148" s="9" t="s">
        <v>332</v>
      </c>
      <c r="H148" s="9">
        <v>2010000232</v>
      </c>
      <c r="I148" s="9" t="s">
        <v>89</v>
      </c>
      <c r="J148" s="14">
        <v>1257</v>
      </c>
      <c r="K148" s="2" t="s">
        <v>238</v>
      </c>
      <c r="L148" s="31">
        <v>0</v>
      </c>
      <c r="M148" s="31">
        <v>0</v>
      </c>
      <c r="N148" s="31">
        <v>0</v>
      </c>
      <c r="O148" s="18"/>
      <c r="P148" s="18"/>
      <c r="Q148" s="18"/>
      <c r="R148" s="18"/>
      <c r="S148" s="18"/>
      <c r="T148" s="18"/>
      <c r="U148" s="17">
        <v>0</v>
      </c>
      <c r="V148" s="17">
        <v>0</v>
      </c>
      <c r="W148" s="17"/>
      <c r="Y148" s="30"/>
      <c r="Z148" s="30"/>
      <c r="AA148" s="30"/>
      <c r="AB148" s="30"/>
      <c r="AC148" s="30"/>
      <c r="AD148" s="30"/>
      <c r="AE148" s="30"/>
      <c r="AF148" s="30"/>
      <c r="AG148" s="30"/>
    </row>
    <row r="149" spans="1:34" x14ac:dyDescent="0.25">
      <c r="A149" s="9" t="s">
        <v>124</v>
      </c>
      <c r="B149" s="9" t="s">
        <v>63</v>
      </c>
      <c r="C149" s="9" t="s">
        <v>64</v>
      </c>
      <c r="D149" s="9" t="s">
        <v>338</v>
      </c>
      <c r="E149" s="9" t="s">
        <v>339</v>
      </c>
      <c r="F149" s="9" t="s">
        <v>340</v>
      </c>
      <c r="G149" s="9" t="s">
        <v>332</v>
      </c>
      <c r="H149" s="9">
        <v>2010000232</v>
      </c>
      <c r="I149" s="9" t="s">
        <v>89</v>
      </c>
      <c r="J149" s="14">
        <v>1257</v>
      </c>
      <c r="K149" s="2" t="s">
        <v>239</v>
      </c>
      <c r="L149" s="31">
        <v>15.414</v>
      </c>
      <c r="M149" s="31">
        <v>13.885999999999999</v>
      </c>
      <c r="N149" s="31">
        <v>16.045999999999999</v>
      </c>
      <c r="O149" s="18"/>
      <c r="P149" s="18"/>
      <c r="Q149" s="18"/>
      <c r="R149" s="18"/>
      <c r="S149" s="18"/>
      <c r="T149" s="18"/>
      <c r="U149" s="17"/>
      <c r="V149" s="17"/>
      <c r="W149" s="17"/>
      <c r="Y149" s="30"/>
      <c r="Z149" s="30"/>
      <c r="AA149" s="30"/>
      <c r="AB149" s="30"/>
      <c r="AC149" s="30"/>
      <c r="AD149" s="30"/>
      <c r="AE149" s="30"/>
      <c r="AF149" s="30"/>
      <c r="AG149" s="30"/>
    </row>
    <row r="150" spans="1:34" x14ac:dyDescent="0.25">
      <c r="A150" s="9" t="s">
        <v>124</v>
      </c>
      <c r="B150" s="9" t="s">
        <v>63</v>
      </c>
      <c r="C150" s="9" t="s">
        <v>64</v>
      </c>
      <c r="D150" s="9" t="s">
        <v>338</v>
      </c>
      <c r="E150" s="9" t="s">
        <v>339</v>
      </c>
      <c r="F150" s="9" t="s">
        <v>340</v>
      </c>
      <c r="G150" s="9" t="s">
        <v>332</v>
      </c>
      <c r="H150" s="9">
        <v>2010000232</v>
      </c>
      <c r="I150" s="9" t="s">
        <v>89</v>
      </c>
      <c r="J150" s="14">
        <v>1257</v>
      </c>
      <c r="K150" s="2" t="s">
        <v>240</v>
      </c>
      <c r="L150" s="31">
        <v>514095</v>
      </c>
      <c r="M150" s="31">
        <v>320006</v>
      </c>
      <c r="N150" s="31">
        <v>544380</v>
      </c>
      <c r="O150" s="18">
        <v>486183.10350000003</v>
      </c>
      <c r="P150" s="18">
        <v>320006.37939999998</v>
      </c>
      <c r="Q150" s="18">
        <v>544380.42039999994</v>
      </c>
      <c r="R150" s="18">
        <v>514094.97493413999</v>
      </c>
      <c r="S150" s="18">
        <v>320035.13351471996</v>
      </c>
      <c r="T150" s="18">
        <v>544380.42428812</v>
      </c>
      <c r="U150" s="17"/>
      <c r="V150" s="17"/>
      <c r="W150" s="17"/>
      <c r="Y150" s="39">
        <f t="shared" si="19"/>
        <v>-5.4293265836080851E-2</v>
      </c>
      <c r="Z150" s="30">
        <f t="shared" si="19"/>
        <v>1.1856027699597149E-6</v>
      </c>
      <c r="AA150" s="30">
        <f t="shared" si="20"/>
        <v>7.7225467487451738E-7</v>
      </c>
      <c r="AB150" s="30">
        <f t="shared" si="21"/>
        <v>-4.8757253012787771E-8</v>
      </c>
      <c r="AC150" s="30">
        <f t="shared" si="22"/>
        <v>9.1040526490004936E-5</v>
      </c>
      <c r="AD150" s="30">
        <f t="shared" si="23"/>
        <v>7.7939696541129422E-7</v>
      </c>
      <c r="AE150" s="30"/>
      <c r="AF150" s="30"/>
      <c r="AG150" s="30"/>
    </row>
    <row r="151" spans="1:34" x14ac:dyDescent="0.25">
      <c r="A151" s="9" t="s">
        <v>125</v>
      </c>
      <c r="B151" s="9" t="s">
        <v>431</v>
      </c>
      <c r="C151" s="9" t="s">
        <v>66</v>
      </c>
      <c r="D151" s="9" t="s">
        <v>341</v>
      </c>
      <c r="E151" s="9" t="s">
        <v>342</v>
      </c>
      <c r="F151" s="9" t="s">
        <v>312</v>
      </c>
      <c r="G151" s="9" t="s">
        <v>236</v>
      </c>
      <c r="H151" s="9" t="s">
        <v>88</v>
      </c>
      <c r="I151" s="9" t="s">
        <v>88</v>
      </c>
      <c r="J151" s="14" t="s">
        <v>88</v>
      </c>
      <c r="K151" s="2" t="s">
        <v>237</v>
      </c>
      <c r="L151" s="31">
        <v>10.015684</v>
      </c>
      <c r="M151" s="31">
        <v>10.610270999999999</v>
      </c>
      <c r="N151" s="31">
        <v>13.693641</v>
      </c>
      <c r="O151" s="18"/>
      <c r="P151" s="18"/>
      <c r="Q151" s="18"/>
      <c r="R151" s="18"/>
      <c r="S151" s="18"/>
      <c r="T151" s="18"/>
      <c r="U151" s="17"/>
      <c r="V151" s="17"/>
      <c r="W151" s="17"/>
      <c r="Y151" s="30"/>
      <c r="Z151" s="30"/>
      <c r="AA151" s="30"/>
      <c r="AB151" s="30"/>
      <c r="AC151" s="30"/>
      <c r="AD151" s="30"/>
      <c r="AE151" s="30"/>
      <c r="AF151" s="30"/>
      <c r="AG151" s="30"/>
    </row>
    <row r="152" spans="1:34" x14ac:dyDescent="0.25">
      <c r="A152" s="9" t="s">
        <v>125</v>
      </c>
      <c r="B152" s="9" t="s">
        <v>65</v>
      </c>
      <c r="C152" s="9" t="s">
        <v>66</v>
      </c>
      <c r="D152" s="9" t="s">
        <v>341</v>
      </c>
      <c r="E152" s="9" t="s">
        <v>342</v>
      </c>
      <c r="F152" s="9" t="s">
        <v>312</v>
      </c>
      <c r="G152" s="9" t="s">
        <v>236</v>
      </c>
      <c r="H152" s="9" t="s">
        <v>88</v>
      </c>
      <c r="I152" s="9" t="s">
        <v>88</v>
      </c>
      <c r="J152" s="14" t="s">
        <v>88</v>
      </c>
      <c r="K152" s="2" t="s">
        <v>238</v>
      </c>
      <c r="L152" s="31">
        <v>4.9054130000000002</v>
      </c>
      <c r="M152" s="31">
        <v>3.5104649999999999</v>
      </c>
      <c r="N152" s="31">
        <v>2.7250619999999999</v>
      </c>
      <c r="O152" s="18"/>
      <c r="P152" s="18"/>
      <c r="Q152" s="18"/>
      <c r="R152" s="18"/>
      <c r="S152" s="18"/>
      <c r="T152" s="18"/>
      <c r="U152" s="17"/>
      <c r="V152" s="17"/>
      <c r="W152" s="17"/>
      <c r="Y152" s="30"/>
      <c r="Z152" s="30"/>
      <c r="AA152" s="30"/>
      <c r="AB152" s="30"/>
      <c r="AC152" s="30"/>
      <c r="AD152" s="30"/>
      <c r="AE152" s="30"/>
      <c r="AF152" s="30"/>
      <c r="AG152" s="30"/>
    </row>
    <row r="153" spans="1:34" x14ac:dyDescent="0.25">
      <c r="A153" s="9" t="s">
        <v>125</v>
      </c>
      <c r="B153" s="9" t="s">
        <v>65</v>
      </c>
      <c r="C153" s="9" t="s">
        <v>66</v>
      </c>
      <c r="D153" s="9" t="s">
        <v>341</v>
      </c>
      <c r="E153" s="9" t="s">
        <v>342</v>
      </c>
      <c r="F153" s="9" t="s">
        <v>312</v>
      </c>
      <c r="G153" s="9" t="s">
        <v>236</v>
      </c>
      <c r="H153" s="9" t="s">
        <v>88</v>
      </c>
      <c r="I153" s="9" t="s">
        <v>88</v>
      </c>
      <c r="J153" s="14" t="s">
        <v>88</v>
      </c>
      <c r="K153" s="2" t="s">
        <v>239</v>
      </c>
      <c r="L153" s="31">
        <v>1.761593</v>
      </c>
      <c r="M153" s="31">
        <v>3.7618559999999999</v>
      </c>
      <c r="N153" s="31">
        <v>4.375794</v>
      </c>
      <c r="O153" s="18"/>
      <c r="P153" s="18"/>
      <c r="Q153" s="18"/>
      <c r="R153" s="18"/>
      <c r="S153" s="18"/>
      <c r="T153" s="18"/>
      <c r="U153" s="17"/>
      <c r="V153" s="17"/>
      <c r="W153" s="17"/>
      <c r="Y153" s="30"/>
      <c r="Z153" s="30"/>
      <c r="AA153" s="30"/>
      <c r="AB153" s="30"/>
      <c r="AC153" s="30"/>
      <c r="AD153" s="30"/>
      <c r="AE153" s="30"/>
      <c r="AF153" s="30"/>
      <c r="AG153" s="30"/>
    </row>
    <row r="154" spans="1:34" x14ac:dyDescent="0.25">
      <c r="A154" s="9" t="s">
        <v>125</v>
      </c>
      <c r="B154" s="9" t="s">
        <v>65</v>
      </c>
      <c r="C154" s="9" t="s">
        <v>66</v>
      </c>
      <c r="D154" s="9" t="s">
        <v>341</v>
      </c>
      <c r="E154" s="9" t="s">
        <v>342</v>
      </c>
      <c r="F154" s="9" t="s">
        <v>312</v>
      </c>
      <c r="G154" s="9" t="s">
        <v>236</v>
      </c>
      <c r="H154" s="9" t="s">
        <v>88</v>
      </c>
      <c r="I154" s="9" t="s">
        <v>88</v>
      </c>
      <c r="J154" s="14" t="s">
        <v>88</v>
      </c>
      <c r="K154" s="2" t="s">
        <v>240</v>
      </c>
      <c r="L154" s="31">
        <v>5946</v>
      </c>
      <c r="M154" s="31">
        <v>7111</v>
      </c>
      <c r="N154" s="31">
        <v>4784</v>
      </c>
      <c r="O154" s="18"/>
      <c r="P154" s="18"/>
      <c r="Q154" s="18"/>
      <c r="R154" s="18"/>
      <c r="S154" s="18"/>
      <c r="T154" s="18"/>
      <c r="U154" s="17"/>
      <c r="V154" s="17"/>
      <c r="W154" s="17"/>
      <c r="Y154" s="30"/>
      <c r="Z154" s="30"/>
      <c r="AA154" s="30"/>
      <c r="AB154" s="30"/>
      <c r="AC154" s="30"/>
      <c r="AD154" s="30"/>
      <c r="AE154" s="30"/>
      <c r="AF154" s="30"/>
      <c r="AG154" s="30"/>
    </row>
    <row r="155" spans="1:34" x14ac:dyDescent="0.25">
      <c r="A155" s="9" t="s">
        <v>126</v>
      </c>
      <c r="B155" s="9" t="s">
        <v>432</v>
      </c>
      <c r="C155" s="9" t="s">
        <v>68</v>
      </c>
      <c r="D155" s="9" t="s">
        <v>343</v>
      </c>
      <c r="E155" s="9" t="s">
        <v>344</v>
      </c>
      <c r="F155" s="9" t="s">
        <v>345</v>
      </c>
      <c r="G155" s="9" t="s">
        <v>346</v>
      </c>
      <c r="H155" s="9">
        <v>2010000120</v>
      </c>
      <c r="I155" s="9" t="s">
        <v>89</v>
      </c>
      <c r="J155" s="14">
        <v>1524</v>
      </c>
      <c r="K155" s="2" t="s">
        <v>237</v>
      </c>
      <c r="L155" s="31">
        <v>170.1</v>
      </c>
      <c r="M155" s="31">
        <v>165.9</v>
      </c>
      <c r="N155" s="31">
        <v>0</v>
      </c>
      <c r="O155" s="18">
        <v>170.1</v>
      </c>
      <c r="P155" s="18">
        <v>165.9</v>
      </c>
      <c r="Q155" s="18">
        <v>218.7</v>
      </c>
      <c r="R155" s="18"/>
      <c r="S155" s="18"/>
      <c r="T155" s="18"/>
      <c r="U155" s="17">
        <v>170.1</v>
      </c>
      <c r="V155" s="17">
        <v>165.9</v>
      </c>
      <c r="W155" s="17"/>
      <c r="Y155" s="30">
        <f t="shared" si="19"/>
        <v>0</v>
      </c>
      <c r="Z155" s="30">
        <f t="shared" si="19"/>
        <v>0</v>
      </c>
      <c r="AA155" s="30"/>
      <c r="AB155" s="30"/>
      <c r="AC155" s="30"/>
      <c r="AD155" s="30"/>
      <c r="AE155" s="30">
        <f t="shared" si="17"/>
        <v>0</v>
      </c>
      <c r="AF155" s="30">
        <f t="shared" si="18"/>
        <v>0</v>
      </c>
      <c r="AG155" s="30"/>
    </row>
    <row r="156" spans="1:34" x14ac:dyDescent="0.25">
      <c r="A156" s="9" t="s">
        <v>126</v>
      </c>
      <c r="B156" s="9" t="s">
        <v>67</v>
      </c>
      <c r="C156" s="9" t="s">
        <v>68</v>
      </c>
      <c r="D156" s="9" t="s">
        <v>343</v>
      </c>
      <c r="E156" s="9" t="s">
        <v>344</v>
      </c>
      <c r="F156" s="9" t="s">
        <v>345</v>
      </c>
      <c r="G156" s="9" t="s">
        <v>346</v>
      </c>
      <c r="H156" s="9">
        <v>2010000120</v>
      </c>
      <c r="I156" s="9" t="s">
        <v>89</v>
      </c>
      <c r="J156" s="14">
        <v>1524</v>
      </c>
      <c r="K156" s="2" t="s">
        <v>238</v>
      </c>
      <c r="L156" s="31">
        <v>0</v>
      </c>
      <c r="M156" s="31">
        <v>0</v>
      </c>
      <c r="N156" s="31">
        <v>0</v>
      </c>
      <c r="O156" s="18"/>
      <c r="P156" s="18"/>
      <c r="Q156" s="18"/>
      <c r="R156" s="18"/>
      <c r="S156" s="18"/>
      <c r="T156" s="18"/>
      <c r="U156" s="17">
        <v>0</v>
      </c>
      <c r="V156" s="17">
        <v>0</v>
      </c>
      <c r="W156" s="17"/>
      <c r="Y156" s="30"/>
      <c r="Z156" s="30"/>
      <c r="AA156" s="30"/>
      <c r="AB156" s="30"/>
      <c r="AC156" s="30"/>
      <c r="AD156" s="30"/>
      <c r="AE156" s="30"/>
      <c r="AF156" s="30"/>
      <c r="AG156" s="30"/>
    </row>
    <row r="157" spans="1:34" x14ac:dyDescent="0.25">
      <c r="A157" s="9" t="s">
        <v>126</v>
      </c>
      <c r="B157" s="9" t="s">
        <v>67</v>
      </c>
      <c r="C157" s="9" t="s">
        <v>68</v>
      </c>
      <c r="D157" s="9" t="s">
        <v>343</v>
      </c>
      <c r="E157" s="9" t="s">
        <v>344</v>
      </c>
      <c r="F157" s="9" t="s">
        <v>345</v>
      </c>
      <c r="G157" s="9" t="s">
        <v>346</v>
      </c>
      <c r="H157" s="9">
        <v>2010000120</v>
      </c>
      <c r="I157" s="9" t="s">
        <v>89</v>
      </c>
      <c r="J157" s="14">
        <v>1524</v>
      </c>
      <c r="K157" s="2" t="s">
        <v>239</v>
      </c>
      <c r="L157" s="31">
        <v>96.4</v>
      </c>
      <c r="M157" s="31">
        <v>74.3</v>
      </c>
      <c r="N157" s="31">
        <v>0</v>
      </c>
      <c r="O157" s="18"/>
      <c r="P157" s="18"/>
      <c r="Q157" s="18"/>
      <c r="R157" s="18"/>
      <c r="S157" s="18"/>
      <c r="T157" s="18"/>
      <c r="U157" s="17"/>
      <c r="V157" s="17"/>
      <c r="W157" s="17"/>
      <c r="Y157" s="30"/>
      <c r="Z157" s="30"/>
      <c r="AA157" s="30"/>
      <c r="AB157" s="30"/>
      <c r="AC157" s="30"/>
      <c r="AD157" s="30"/>
      <c r="AE157" s="30"/>
      <c r="AF157" s="30"/>
      <c r="AG157" s="30"/>
    </row>
    <row r="158" spans="1:34" x14ac:dyDescent="0.25">
      <c r="A158" s="9" t="s">
        <v>126</v>
      </c>
      <c r="B158" s="9" t="s">
        <v>67</v>
      </c>
      <c r="C158" s="9" t="s">
        <v>68</v>
      </c>
      <c r="D158" s="9" t="s">
        <v>343</v>
      </c>
      <c r="E158" s="9" t="s">
        <v>344</v>
      </c>
      <c r="F158" s="9" t="s">
        <v>345</v>
      </c>
      <c r="G158" s="9" t="s">
        <v>346</v>
      </c>
      <c r="H158" s="9">
        <v>2010000120</v>
      </c>
      <c r="I158" s="9" t="s">
        <v>89</v>
      </c>
      <c r="J158" s="14">
        <v>1524</v>
      </c>
      <c r="K158" s="2" t="s">
        <v>240</v>
      </c>
      <c r="L158" s="31">
        <v>753292</v>
      </c>
      <c r="M158" s="31">
        <v>868206</v>
      </c>
      <c r="N158" s="31">
        <v>0</v>
      </c>
      <c r="O158" s="18">
        <v>753292</v>
      </c>
      <c r="P158" s="18">
        <v>868206</v>
      </c>
      <c r="Q158" s="18">
        <v>933310</v>
      </c>
      <c r="R158" s="18">
        <v>753292.38818587956</v>
      </c>
      <c r="S158" s="18">
        <v>868206.2686219482</v>
      </c>
      <c r="T158" s="18">
        <v>933310.36700117029</v>
      </c>
      <c r="U158" s="17"/>
      <c r="V158" s="17"/>
      <c r="W158" s="17"/>
      <c r="Y158" s="30">
        <f t="shared" si="19"/>
        <v>0</v>
      </c>
      <c r="Z158" s="30">
        <f t="shared" si="19"/>
        <v>0</v>
      </c>
      <c r="AA158" s="30"/>
      <c r="AB158" s="30">
        <f t="shared" si="21"/>
        <v>5.1531926481551693E-7</v>
      </c>
      <c r="AC158" s="30">
        <f t="shared" si="22"/>
        <v>3.0939886186409638E-7</v>
      </c>
      <c r="AD158" s="30"/>
      <c r="AE158" s="30"/>
      <c r="AF158" s="30"/>
      <c r="AG158" s="30"/>
    </row>
    <row r="159" spans="1:34" x14ac:dyDescent="0.25">
      <c r="A159" s="9" t="s">
        <v>127</v>
      </c>
      <c r="B159" s="9" t="s">
        <v>433</v>
      </c>
      <c r="C159" s="9" t="s">
        <v>69</v>
      </c>
      <c r="D159" s="9" t="s">
        <v>347</v>
      </c>
      <c r="E159" s="9" t="s">
        <v>348</v>
      </c>
      <c r="F159" s="9" t="s">
        <v>349</v>
      </c>
      <c r="G159" s="9" t="s">
        <v>350</v>
      </c>
      <c r="H159" s="9">
        <v>2008000383</v>
      </c>
      <c r="I159" s="9" t="s">
        <v>89</v>
      </c>
      <c r="J159" s="14">
        <v>1526</v>
      </c>
      <c r="K159" s="2" t="s">
        <v>237</v>
      </c>
      <c r="L159" s="31">
        <v>93.5</v>
      </c>
      <c r="M159" s="31">
        <v>81.3</v>
      </c>
      <c r="N159" s="31">
        <v>179.1</v>
      </c>
      <c r="O159" s="18">
        <v>122.4</v>
      </c>
      <c r="P159" s="18">
        <v>102.5</v>
      </c>
      <c r="Q159" s="18">
        <v>210.8819</v>
      </c>
      <c r="R159" s="18"/>
      <c r="S159" s="18"/>
      <c r="T159" s="18"/>
      <c r="U159" s="17">
        <v>122.4</v>
      </c>
      <c r="V159" s="17">
        <v>102.46</v>
      </c>
      <c r="W159" s="17"/>
      <c r="Y159" s="39">
        <f t="shared" si="19"/>
        <v>0.30909090909090908</v>
      </c>
      <c r="Z159" s="39">
        <f t="shared" si="19"/>
        <v>0.26076260762607628</v>
      </c>
      <c r="AA159" s="39">
        <f t="shared" si="20"/>
        <v>0.17745337800111671</v>
      </c>
      <c r="AB159" s="30"/>
      <c r="AC159" s="30"/>
      <c r="AD159" s="30"/>
      <c r="AE159" s="39">
        <f t="shared" si="17"/>
        <v>0.30909090909090908</v>
      </c>
      <c r="AF159" s="39">
        <f t="shared" si="18"/>
        <v>0.26027060270602709</v>
      </c>
      <c r="AG159" s="30"/>
      <c r="AH159" s="1" t="s">
        <v>393</v>
      </c>
    </row>
    <row r="160" spans="1:34" x14ac:dyDescent="0.25">
      <c r="A160" s="9" t="s">
        <v>127</v>
      </c>
      <c r="B160" s="9" t="s">
        <v>4</v>
      </c>
      <c r="C160" s="9" t="s">
        <v>69</v>
      </c>
      <c r="D160" s="9" t="s">
        <v>347</v>
      </c>
      <c r="E160" s="9" t="s">
        <v>348</v>
      </c>
      <c r="F160" s="9" t="s">
        <v>349</v>
      </c>
      <c r="G160" s="9" t="s">
        <v>350</v>
      </c>
      <c r="H160" s="9">
        <v>2008000383</v>
      </c>
      <c r="I160" s="9" t="s">
        <v>89</v>
      </c>
      <c r="J160" s="14">
        <v>1526</v>
      </c>
      <c r="K160" s="2" t="s">
        <v>238</v>
      </c>
      <c r="L160" s="31">
        <v>0</v>
      </c>
      <c r="M160" s="31">
        <v>0</v>
      </c>
      <c r="N160" s="31">
        <v>0</v>
      </c>
      <c r="O160" s="18"/>
      <c r="P160" s="18"/>
      <c r="Q160" s="18"/>
      <c r="R160" s="18"/>
      <c r="S160" s="18"/>
      <c r="T160" s="18"/>
      <c r="U160" s="17">
        <v>0</v>
      </c>
      <c r="V160" s="17">
        <v>0</v>
      </c>
      <c r="W160" s="17"/>
      <c r="Y160" s="30"/>
      <c r="Z160" s="30"/>
      <c r="AA160" s="30"/>
      <c r="AB160" s="30"/>
      <c r="AC160" s="30"/>
      <c r="AD160" s="30"/>
      <c r="AE160" s="30"/>
      <c r="AF160" s="30"/>
      <c r="AG160" s="30"/>
    </row>
    <row r="161" spans="1:33" x14ac:dyDescent="0.25">
      <c r="A161" s="9" t="s">
        <v>127</v>
      </c>
      <c r="B161" s="9" t="s">
        <v>4</v>
      </c>
      <c r="C161" s="9" t="s">
        <v>69</v>
      </c>
      <c r="D161" s="9" t="s">
        <v>347</v>
      </c>
      <c r="E161" s="9" t="s">
        <v>348</v>
      </c>
      <c r="F161" s="9" t="s">
        <v>349</v>
      </c>
      <c r="G161" s="9" t="s">
        <v>350</v>
      </c>
      <c r="H161" s="9">
        <v>2008000383</v>
      </c>
      <c r="I161" s="9" t="s">
        <v>89</v>
      </c>
      <c r="J161" s="14">
        <v>1526</v>
      </c>
      <c r="K161" s="2" t="s">
        <v>239</v>
      </c>
      <c r="L161" s="31">
        <v>20.6</v>
      </c>
      <c r="M161" s="31">
        <v>22</v>
      </c>
      <c r="N161" s="31">
        <v>53.7</v>
      </c>
      <c r="O161" s="18"/>
      <c r="P161" s="18"/>
      <c r="Q161" s="18"/>
      <c r="R161" s="18"/>
      <c r="S161" s="18"/>
      <c r="T161" s="18"/>
      <c r="U161" s="17"/>
      <c r="V161" s="17"/>
      <c r="W161" s="17"/>
      <c r="Y161" s="30"/>
      <c r="Z161" s="30"/>
      <c r="AA161" s="30"/>
      <c r="AB161" s="30"/>
      <c r="AC161" s="30"/>
      <c r="AD161" s="30"/>
      <c r="AE161" s="30"/>
      <c r="AF161" s="30"/>
      <c r="AG161" s="30"/>
    </row>
    <row r="162" spans="1:33" x14ac:dyDescent="0.25">
      <c r="A162" s="9" t="s">
        <v>127</v>
      </c>
      <c r="B162" s="9" t="s">
        <v>4</v>
      </c>
      <c r="C162" s="9" t="s">
        <v>69</v>
      </c>
      <c r="D162" s="9" t="s">
        <v>347</v>
      </c>
      <c r="E162" s="9" t="s">
        <v>348</v>
      </c>
      <c r="F162" s="9" t="s">
        <v>349</v>
      </c>
      <c r="G162" s="9" t="s">
        <v>350</v>
      </c>
      <c r="H162" s="9">
        <v>2008000383</v>
      </c>
      <c r="I162" s="9" t="s">
        <v>89</v>
      </c>
      <c r="J162" s="14">
        <v>1526</v>
      </c>
      <c r="K162" s="2" t="s">
        <v>240</v>
      </c>
      <c r="L162" s="31">
        <v>439173</v>
      </c>
      <c r="M162" s="31">
        <v>417520</v>
      </c>
      <c r="N162" s="31">
        <v>753668</v>
      </c>
      <c r="O162" s="18">
        <v>439173</v>
      </c>
      <c r="P162" s="18">
        <v>418561</v>
      </c>
      <c r="Q162" s="18">
        <v>726647</v>
      </c>
      <c r="R162" s="18">
        <v>439172.78235827677</v>
      </c>
      <c r="S162" s="18">
        <v>418561.21753070137</v>
      </c>
      <c r="T162" s="18">
        <v>726647.46700413432</v>
      </c>
      <c r="U162" s="17"/>
      <c r="V162" s="17"/>
      <c r="W162" s="17"/>
      <c r="Y162" s="30">
        <f t="shared" si="19"/>
        <v>0</v>
      </c>
      <c r="Z162" s="30">
        <f t="shared" si="19"/>
        <v>2.4932937344319672E-3</v>
      </c>
      <c r="AA162" s="30">
        <f t="shared" si="20"/>
        <v>-3.5852656607418654E-2</v>
      </c>
      <c r="AB162" s="30">
        <f t="shared" si="21"/>
        <v>-4.9557172965286611E-7</v>
      </c>
      <c r="AC162" s="30">
        <f t="shared" si="22"/>
        <v>2.4938147410935585E-3</v>
      </c>
      <c r="AD162" s="30">
        <f t="shared" si="23"/>
        <v>-3.5852036965700607E-2</v>
      </c>
      <c r="AE162" s="30"/>
      <c r="AF162" s="30"/>
      <c r="AG162" s="30"/>
    </row>
    <row r="163" spans="1:33" x14ac:dyDescent="0.25">
      <c r="A163" s="9" t="s">
        <v>128</v>
      </c>
      <c r="B163" s="9" t="s">
        <v>434</v>
      </c>
      <c r="C163" s="9" t="s">
        <v>70</v>
      </c>
      <c r="D163" s="9" t="s">
        <v>351</v>
      </c>
      <c r="E163" s="9" t="s">
        <v>275</v>
      </c>
      <c r="F163" s="9" t="s">
        <v>275</v>
      </c>
      <c r="G163" s="9" t="s">
        <v>276</v>
      </c>
      <c r="H163" s="9">
        <v>2012000034</v>
      </c>
      <c r="I163" s="9" t="s">
        <v>89</v>
      </c>
      <c r="J163" s="14">
        <v>1690</v>
      </c>
      <c r="K163" s="2" t="s">
        <v>237</v>
      </c>
      <c r="L163" s="31">
        <v>96</v>
      </c>
      <c r="M163" s="31">
        <v>99</v>
      </c>
      <c r="N163" s="31">
        <v>96</v>
      </c>
      <c r="O163" s="18"/>
      <c r="P163" s="18"/>
      <c r="Q163" s="18"/>
      <c r="R163" s="18"/>
      <c r="S163" s="18"/>
      <c r="T163" s="18"/>
      <c r="U163" s="17">
        <v>98.9</v>
      </c>
      <c r="V163" s="17">
        <v>98.7</v>
      </c>
      <c r="W163" s="17"/>
      <c r="Y163" s="30"/>
      <c r="Z163" s="30"/>
      <c r="AA163" s="30"/>
      <c r="AB163" s="30"/>
      <c r="AC163" s="30"/>
      <c r="AD163" s="30"/>
      <c r="AE163" s="30">
        <f t="shared" si="17"/>
        <v>3.0208333333333393E-2</v>
      </c>
      <c r="AF163" s="30">
        <f t="shared" si="18"/>
        <v>-3.0303030303030498E-3</v>
      </c>
      <c r="AG163" s="30"/>
    </row>
    <row r="164" spans="1:33" x14ac:dyDescent="0.25">
      <c r="A164" s="9" t="s">
        <v>128</v>
      </c>
      <c r="B164" s="9" t="s">
        <v>12</v>
      </c>
      <c r="C164" s="9" t="s">
        <v>70</v>
      </c>
      <c r="D164" s="9" t="s">
        <v>351</v>
      </c>
      <c r="E164" s="9" t="s">
        <v>275</v>
      </c>
      <c r="F164" s="9" t="s">
        <v>275</v>
      </c>
      <c r="G164" s="9" t="s">
        <v>276</v>
      </c>
      <c r="H164" s="9">
        <v>2012000034</v>
      </c>
      <c r="I164" s="9" t="s">
        <v>89</v>
      </c>
      <c r="J164" s="14">
        <v>1690</v>
      </c>
      <c r="K164" s="2" t="s">
        <v>238</v>
      </c>
      <c r="L164" s="31">
        <v>0</v>
      </c>
      <c r="M164" s="31">
        <v>0</v>
      </c>
      <c r="N164" s="31">
        <v>0</v>
      </c>
      <c r="O164" s="18"/>
      <c r="P164" s="18"/>
      <c r="Q164" s="18"/>
      <c r="R164" s="18"/>
      <c r="S164" s="18"/>
      <c r="T164" s="18"/>
      <c r="U164" s="17">
        <v>0</v>
      </c>
      <c r="V164" s="17">
        <v>0</v>
      </c>
      <c r="W164" s="17"/>
      <c r="Y164" s="30"/>
      <c r="Z164" s="30"/>
      <c r="AA164" s="30"/>
      <c r="AB164" s="30"/>
      <c r="AC164" s="30"/>
      <c r="AD164" s="30"/>
      <c r="AE164" s="30"/>
      <c r="AF164" s="30"/>
      <c r="AG164" s="30"/>
    </row>
    <row r="165" spans="1:33" x14ac:dyDescent="0.25">
      <c r="A165" s="9" t="s">
        <v>128</v>
      </c>
      <c r="B165" s="9" t="s">
        <v>12</v>
      </c>
      <c r="C165" s="9" t="s">
        <v>70</v>
      </c>
      <c r="D165" s="9" t="s">
        <v>351</v>
      </c>
      <c r="E165" s="9" t="s">
        <v>275</v>
      </c>
      <c r="F165" s="9" t="s">
        <v>275</v>
      </c>
      <c r="G165" s="9" t="s">
        <v>276</v>
      </c>
      <c r="H165" s="9">
        <v>2012000034</v>
      </c>
      <c r="I165" s="9" t="s">
        <v>89</v>
      </c>
      <c r="J165" s="14">
        <v>1690</v>
      </c>
      <c r="K165" s="2" t="s">
        <v>239</v>
      </c>
      <c r="L165" s="31">
        <v>25</v>
      </c>
      <c r="M165" s="31">
        <v>18</v>
      </c>
      <c r="N165" s="31">
        <v>24</v>
      </c>
      <c r="O165" s="18"/>
      <c r="P165" s="18"/>
      <c r="Q165" s="18"/>
      <c r="R165" s="18"/>
      <c r="S165" s="18"/>
      <c r="T165" s="18"/>
      <c r="U165" s="17"/>
      <c r="V165" s="17"/>
      <c r="W165" s="17"/>
      <c r="Y165" s="30"/>
      <c r="Z165" s="30"/>
      <c r="AA165" s="30"/>
      <c r="AB165" s="30"/>
      <c r="AC165" s="30"/>
      <c r="AD165" s="30"/>
      <c r="AE165" s="30"/>
      <c r="AF165" s="30"/>
      <c r="AG165" s="30"/>
    </row>
    <row r="166" spans="1:33" x14ac:dyDescent="0.25">
      <c r="A166" s="9" t="s">
        <v>128</v>
      </c>
      <c r="B166" s="9" t="s">
        <v>12</v>
      </c>
      <c r="C166" s="9" t="s">
        <v>70</v>
      </c>
      <c r="D166" s="9" t="s">
        <v>351</v>
      </c>
      <c r="E166" s="9" t="s">
        <v>275</v>
      </c>
      <c r="F166" s="9" t="s">
        <v>275</v>
      </c>
      <c r="G166" s="9" t="s">
        <v>276</v>
      </c>
      <c r="H166" s="9">
        <v>2012000034</v>
      </c>
      <c r="I166" s="9" t="s">
        <v>89</v>
      </c>
      <c r="J166" s="14">
        <v>1690</v>
      </c>
      <c r="K166" s="2" t="s">
        <v>240</v>
      </c>
      <c r="L166" s="31">
        <v>819582</v>
      </c>
      <c r="M166" s="31">
        <v>852701</v>
      </c>
      <c r="N166" s="31">
        <v>838900</v>
      </c>
      <c r="O166" s="18">
        <v>819582</v>
      </c>
      <c r="P166" s="18">
        <v>852701</v>
      </c>
      <c r="Q166" s="18">
        <v>838900</v>
      </c>
      <c r="R166" s="18">
        <v>819582.05529377982</v>
      </c>
      <c r="S166" s="18">
        <v>852701.47733162192</v>
      </c>
      <c r="T166" s="18">
        <v>838900.06097575021</v>
      </c>
      <c r="U166" s="17"/>
      <c r="V166" s="17"/>
      <c r="W166" s="17"/>
      <c r="Y166" s="30">
        <f t="shared" si="19"/>
        <v>0</v>
      </c>
      <c r="Z166" s="30">
        <f t="shared" si="19"/>
        <v>0</v>
      </c>
      <c r="AA166" s="30">
        <f t="shared" si="20"/>
        <v>0</v>
      </c>
      <c r="AB166" s="30">
        <f t="shared" si="21"/>
        <v>6.7465830033697216E-8</v>
      </c>
      <c r="AC166" s="30">
        <f t="shared" si="22"/>
        <v>5.5978780588716859E-7</v>
      </c>
      <c r="AD166" s="30">
        <f t="shared" si="23"/>
        <v>7.2685361951485561E-8</v>
      </c>
      <c r="AE166" s="30"/>
      <c r="AF166" s="30"/>
      <c r="AG166" s="30"/>
    </row>
    <row r="167" spans="1:33" x14ac:dyDescent="0.25">
      <c r="A167" s="9" t="s">
        <v>129</v>
      </c>
      <c r="B167" s="9" t="s">
        <v>435</v>
      </c>
      <c r="C167" s="9" t="s">
        <v>352</v>
      </c>
      <c r="D167" s="9" t="s">
        <v>353</v>
      </c>
      <c r="E167" s="9" t="s">
        <v>354</v>
      </c>
      <c r="F167" s="9" t="s">
        <v>275</v>
      </c>
      <c r="G167" s="9" t="s">
        <v>276</v>
      </c>
      <c r="H167" s="21">
        <v>2007000628</v>
      </c>
      <c r="I167" s="9" t="s">
        <v>88</v>
      </c>
      <c r="J167" s="16">
        <v>1511</v>
      </c>
      <c r="K167" s="2" t="s">
        <v>237</v>
      </c>
      <c r="L167" s="17">
        <v>255.31399999999999</v>
      </c>
      <c r="M167" s="17">
        <v>266.12299999999999</v>
      </c>
      <c r="N167" s="17">
        <v>247.04599999999999</v>
      </c>
      <c r="O167" s="18">
        <v>255.036</v>
      </c>
      <c r="P167" s="18">
        <v>265.68900000000002</v>
      </c>
      <c r="Q167" s="18">
        <v>246.60749999999999</v>
      </c>
      <c r="R167" s="18"/>
      <c r="S167" s="18"/>
      <c r="T167" s="18"/>
      <c r="U167" s="17">
        <v>255.2</v>
      </c>
      <c r="V167" s="17">
        <v>266.12161250000003</v>
      </c>
      <c r="W167" s="17"/>
      <c r="Y167" s="30">
        <f t="shared" si="19"/>
        <v>-1.0888552919150474E-3</v>
      </c>
      <c r="Z167" s="30">
        <f t="shared" si="19"/>
        <v>-1.630824844150891E-3</v>
      </c>
      <c r="AA167" s="30">
        <f t="shared" si="20"/>
        <v>-1.7749730819361931E-3</v>
      </c>
      <c r="AB167" s="30"/>
      <c r="AC167" s="30"/>
      <c r="AD167" s="30"/>
      <c r="AE167" s="30">
        <f t="shared" si="17"/>
        <v>-4.4650900459830556E-4</v>
      </c>
      <c r="AF167" s="30">
        <f t="shared" si="18"/>
        <v>-5.213754541988358E-6</v>
      </c>
      <c r="AG167" s="30"/>
    </row>
    <row r="168" spans="1:33" x14ac:dyDescent="0.25">
      <c r="A168" s="9" t="s">
        <v>129</v>
      </c>
      <c r="B168" s="9" t="s">
        <v>71</v>
      </c>
      <c r="C168" s="9" t="s">
        <v>352</v>
      </c>
      <c r="D168" s="9" t="s">
        <v>353</v>
      </c>
      <c r="E168" s="9" t="s">
        <v>354</v>
      </c>
      <c r="F168" s="9" t="s">
        <v>275</v>
      </c>
      <c r="G168" s="9" t="s">
        <v>276</v>
      </c>
      <c r="H168" s="21">
        <v>2007000628</v>
      </c>
      <c r="I168" s="9" t="s">
        <v>88</v>
      </c>
      <c r="J168" s="16">
        <v>1511</v>
      </c>
      <c r="K168" s="2" t="s">
        <v>238</v>
      </c>
      <c r="L168" s="31">
        <v>0</v>
      </c>
      <c r="M168" s="31">
        <v>0</v>
      </c>
      <c r="N168" s="31">
        <v>0</v>
      </c>
      <c r="O168" s="18"/>
      <c r="P168" s="18"/>
      <c r="Q168" s="18"/>
      <c r="R168" s="18"/>
      <c r="S168" s="18"/>
      <c r="T168" s="18"/>
      <c r="U168" s="17">
        <v>0</v>
      </c>
      <c r="V168" s="17">
        <v>2.27</v>
      </c>
      <c r="W168" s="17"/>
      <c r="Y168" s="30"/>
      <c r="Z168" s="30"/>
      <c r="AA168" s="30"/>
      <c r="AB168" s="30"/>
      <c r="AC168" s="30"/>
      <c r="AD168" s="30"/>
      <c r="AE168" s="30"/>
      <c r="AF168" s="30"/>
      <c r="AG168" s="30"/>
    </row>
    <row r="169" spans="1:33" x14ac:dyDescent="0.25">
      <c r="A169" s="9" t="s">
        <v>129</v>
      </c>
      <c r="B169" s="9" t="s">
        <v>71</v>
      </c>
      <c r="C169" s="9" t="s">
        <v>352</v>
      </c>
      <c r="D169" s="9" t="s">
        <v>353</v>
      </c>
      <c r="E169" s="9" t="s">
        <v>354</v>
      </c>
      <c r="F169" s="9" t="s">
        <v>275</v>
      </c>
      <c r="G169" s="9" t="s">
        <v>276</v>
      </c>
      <c r="H169" s="21">
        <v>2007000628</v>
      </c>
      <c r="I169" s="9" t="s">
        <v>88</v>
      </c>
      <c r="J169" s="16">
        <v>1511</v>
      </c>
      <c r="K169" s="2" t="s">
        <v>239</v>
      </c>
      <c r="L169" s="17">
        <v>89.903000000000006</v>
      </c>
      <c r="M169" s="17">
        <v>129.816</v>
      </c>
      <c r="N169" s="17">
        <v>114.158</v>
      </c>
      <c r="O169" s="18"/>
      <c r="P169" s="18"/>
      <c r="Q169" s="18"/>
      <c r="R169" s="18"/>
      <c r="S169" s="18"/>
      <c r="T169" s="18"/>
      <c r="U169" s="17"/>
      <c r="V169" s="17"/>
      <c r="W169" s="17"/>
      <c r="Y169" s="30"/>
      <c r="Z169" s="30"/>
      <c r="AA169" s="30"/>
      <c r="AB169" s="30"/>
      <c r="AC169" s="30"/>
      <c r="AD169" s="30"/>
      <c r="AE169" s="30"/>
      <c r="AF169" s="30"/>
      <c r="AG169" s="30"/>
    </row>
    <row r="170" spans="1:33" x14ac:dyDescent="0.25">
      <c r="A170" s="9" t="s">
        <v>129</v>
      </c>
      <c r="B170" s="9" t="s">
        <v>71</v>
      </c>
      <c r="C170" s="9" t="s">
        <v>352</v>
      </c>
      <c r="D170" s="9" t="s">
        <v>353</v>
      </c>
      <c r="E170" s="9" t="s">
        <v>354</v>
      </c>
      <c r="F170" s="9" t="s">
        <v>275</v>
      </c>
      <c r="G170" s="9" t="s">
        <v>276</v>
      </c>
      <c r="H170" s="21">
        <v>2007000628</v>
      </c>
      <c r="I170" s="9" t="s">
        <v>88</v>
      </c>
      <c r="J170" s="16">
        <v>1511</v>
      </c>
      <c r="K170" s="2" t="s">
        <v>240</v>
      </c>
      <c r="L170" s="31">
        <v>871075</v>
      </c>
      <c r="M170" s="31">
        <v>783499</v>
      </c>
      <c r="N170" s="31">
        <v>732658</v>
      </c>
      <c r="O170" s="18">
        <v>869463.77</v>
      </c>
      <c r="P170" s="18">
        <v>781979.53200000001</v>
      </c>
      <c r="Q170" s="18">
        <v>731286.65</v>
      </c>
      <c r="R170" s="18">
        <v>871075.20357951627</v>
      </c>
      <c r="S170" s="18">
        <v>783499.26535798539</v>
      </c>
      <c r="T170" s="18">
        <v>732658.34560968366</v>
      </c>
      <c r="U170" s="17"/>
      <c r="V170" s="17"/>
      <c r="W170" s="17"/>
      <c r="Y170" s="30">
        <f t="shared" si="19"/>
        <v>-1.8497029532473785E-3</v>
      </c>
      <c r="Z170" s="30">
        <f t="shared" si="19"/>
        <v>-1.9393362339964471E-3</v>
      </c>
      <c r="AA170" s="30">
        <f t="shared" si="20"/>
        <v>-1.8717464355810787E-3</v>
      </c>
      <c r="AB170" s="30">
        <f t="shared" si="21"/>
        <v>2.3371066348865099E-7</v>
      </c>
      <c r="AC170" s="30">
        <f t="shared" si="22"/>
        <v>3.3868324700314645E-7</v>
      </c>
      <c r="AD170" s="30">
        <f t="shared" si="23"/>
        <v>4.7172034389753037E-7</v>
      </c>
      <c r="AE170" s="30"/>
      <c r="AF170" s="30"/>
      <c r="AG170" s="30"/>
    </row>
    <row r="171" spans="1:33" x14ac:dyDescent="0.25">
      <c r="A171" s="9" t="s">
        <v>130</v>
      </c>
      <c r="B171" s="9" t="s">
        <v>436</v>
      </c>
      <c r="C171" s="9" t="s">
        <v>73</v>
      </c>
      <c r="D171" s="9" t="s">
        <v>355</v>
      </c>
      <c r="E171" s="9" t="s">
        <v>356</v>
      </c>
      <c r="F171" s="9" t="s">
        <v>356</v>
      </c>
      <c r="G171" s="9" t="s">
        <v>332</v>
      </c>
      <c r="H171" s="9">
        <v>2007000337</v>
      </c>
      <c r="I171" s="9" t="s">
        <v>89</v>
      </c>
      <c r="J171" s="14">
        <v>769</v>
      </c>
      <c r="K171" s="2" t="s">
        <v>237</v>
      </c>
      <c r="L171" s="31">
        <v>3009</v>
      </c>
      <c r="M171" s="31">
        <v>2541</v>
      </c>
      <c r="N171" s="31">
        <v>1815</v>
      </c>
      <c r="O171" s="18">
        <v>3008.9751999999999</v>
      </c>
      <c r="P171" s="18">
        <v>2541.3904000000002</v>
      </c>
      <c r="Q171" s="18">
        <v>1815.0757000000001</v>
      </c>
      <c r="R171" s="18"/>
      <c r="S171" s="18"/>
      <c r="T171" s="18"/>
      <c r="U171" s="17">
        <v>3008.9760000000001</v>
      </c>
      <c r="V171" s="17">
        <v>2541.390414</v>
      </c>
      <c r="W171" s="17"/>
      <c r="Y171" s="30">
        <f t="shared" si="19"/>
        <v>-8.2419408441447572E-6</v>
      </c>
      <c r="Z171" s="30">
        <f t="shared" si="19"/>
        <v>1.5364029909492594E-4</v>
      </c>
      <c r="AA171" s="30">
        <f t="shared" si="20"/>
        <v>4.170798898073258E-5</v>
      </c>
      <c r="AB171" s="30"/>
      <c r="AC171" s="30"/>
      <c r="AD171" s="30"/>
      <c r="AE171" s="30">
        <f t="shared" si="17"/>
        <v>-7.9760717845989149E-6</v>
      </c>
      <c r="AF171" s="30">
        <f t="shared" si="18"/>
        <v>1.536458087367798E-4</v>
      </c>
      <c r="AG171" s="30"/>
    </row>
    <row r="172" spans="1:33" x14ac:dyDescent="0.25">
      <c r="A172" s="9" t="s">
        <v>130</v>
      </c>
      <c r="B172" s="9" t="s">
        <v>72</v>
      </c>
      <c r="C172" s="9" t="s">
        <v>73</v>
      </c>
      <c r="D172" s="9" t="s">
        <v>355</v>
      </c>
      <c r="E172" s="9" t="s">
        <v>356</v>
      </c>
      <c r="F172" s="9" t="s">
        <v>356</v>
      </c>
      <c r="G172" s="9" t="s">
        <v>332</v>
      </c>
      <c r="H172" s="9">
        <v>2007000337</v>
      </c>
      <c r="I172" s="9" t="s">
        <v>89</v>
      </c>
      <c r="J172" s="14">
        <v>769</v>
      </c>
      <c r="K172" s="2" t="s">
        <v>238</v>
      </c>
      <c r="L172" s="31">
        <v>1641</v>
      </c>
      <c r="M172" s="31">
        <v>1512</v>
      </c>
      <c r="N172" s="31">
        <v>963</v>
      </c>
      <c r="O172" s="18">
        <v>1641.1567</v>
      </c>
      <c r="P172" s="18">
        <v>1511.7402</v>
      </c>
      <c r="Q172" s="18">
        <v>962.92070000000001</v>
      </c>
      <c r="R172" s="18"/>
      <c r="S172" s="18"/>
      <c r="T172" s="18"/>
      <c r="U172" s="17">
        <v>1641.1559999999999</v>
      </c>
      <c r="V172" s="17">
        <v>1511.740233</v>
      </c>
      <c r="W172" s="17"/>
      <c r="Y172" s="30">
        <f t="shared" si="19"/>
        <v>9.5490554539834349E-5</v>
      </c>
      <c r="Z172" s="30">
        <f t="shared" si="19"/>
        <v>-1.7182539682547571E-4</v>
      </c>
      <c r="AA172" s="30">
        <f t="shared" si="20"/>
        <v>-8.2346832814161885E-5</v>
      </c>
      <c r="AB172" s="30"/>
      <c r="AC172" s="30"/>
      <c r="AD172" s="30"/>
      <c r="AE172" s="30">
        <f t="shared" si="17"/>
        <v>9.5063985374732596E-5</v>
      </c>
      <c r="AF172" s="30">
        <f t="shared" si="18"/>
        <v>-1.7180357142854152E-4</v>
      </c>
      <c r="AG172" s="30"/>
    </row>
    <row r="173" spans="1:33" x14ac:dyDescent="0.25">
      <c r="A173" s="9" t="s">
        <v>130</v>
      </c>
      <c r="B173" s="9" t="s">
        <v>72</v>
      </c>
      <c r="C173" s="9" t="s">
        <v>73</v>
      </c>
      <c r="D173" s="9" t="s">
        <v>355</v>
      </c>
      <c r="E173" s="9" t="s">
        <v>356</v>
      </c>
      <c r="F173" s="9" t="s">
        <v>356</v>
      </c>
      <c r="G173" s="9" t="s">
        <v>332</v>
      </c>
      <c r="H173" s="9">
        <v>2007000337</v>
      </c>
      <c r="I173" s="9" t="s">
        <v>89</v>
      </c>
      <c r="J173" s="14">
        <v>769</v>
      </c>
      <c r="K173" s="2" t="s">
        <v>239</v>
      </c>
      <c r="L173" s="31">
        <v>792</v>
      </c>
      <c r="M173" s="31">
        <v>446</v>
      </c>
      <c r="N173" s="31">
        <v>311</v>
      </c>
      <c r="O173" s="18">
        <v>792.49929999999995</v>
      </c>
      <c r="P173" s="18"/>
      <c r="Q173" s="18"/>
      <c r="R173" s="18"/>
      <c r="S173" s="18"/>
      <c r="T173" s="18"/>
      <c r="U173" s="17"/>
      <c r="V173" s="17"/>
      <c r="W173" s="17"/>
      <c r="Y173" s="30">
        <f t="shared" si="19"/>
        <v>6.3042929292933536E-4</v>
      </c>
      <c r="Z173" s="30"/>
      <c r="AA173" s="30"/>
      <c r="AB173" s="30"/>
      <c r="AC173" s="30"/>
      <c r="AD173" s="30"/>
      <c r="AE173" s="30"/>
      <c r="AF173" s="30"/>
      <c r="AG173" s="30"/>
    </row>
    <row r="174" spans="1:33" x14ac:dyDescent="0.25">
      <c r="A174" s="9" t="s">
        <v>130</v>
      </c>
      <c r="B174" s="9" t="s">
        <v>72</v>
      </c>
      <c r="C174" s="9" t="s">
        <v>73</v>
      </c>
      <c r="D174" s="9" t="s">
        <v>355</v>
      </c>
      <c r="E174" s="9" t="s">
        <v>356</v>
      </c>
      <c r="F174" s="9" t="s">
        <v>356</v>
      </c>
      <c r="G174" s="9" t="s">
        <v>332</v>
      </c>
      <c r="H174" s="9">
        <v>2007000337</v>
      </c>
      <c r="I174" s="9" t="s">
        <v>89</v>
      </c>
      <c r="J174" s="14">
        <v>769</v>
      </c>
      <c r="K174" s="2" t="s">
        <v>240</v>
      </c>
      <c r="L174" s="31">
        <v>6485120</v>
      </c>
      <c r="M174" s="31">
        <v>5477190</v>
      </c>
      <c r="N174" s="31">
        <v>4562532</v>
      </c>
      <c r="O174" s="18">
        <v>6485119.9102999996</v>
      </c>
      <c r="P174" s="18">
        <v>5477189.5543999998</v>
      </c>
      <c r="Q174" s="18">
        <v>4562532.4046</v>
      </c>
      <c r="R174" s="18">
        <v>6485119.9102544114</v>
      </c>
      <c r="S174" s="18">
        <v>5477189.5543510001</v>
      </c>
      <c r="T174" s="18">
        <v>4562532.4046419999</v>
      </c>
      <c r="U174" s="17"/>
      <c r="V174" s="17"/>
      <c r="W174" s="17"/>
      <c r="Y174" s="30">
        <f t="shared" si="19"/>
        <v>-1.3831663925323312E-8</v>
      </c>
      <c r="Z174" s="30">
        <f t="shared" si="19"/>
        <v>-8.1355585712650225E-8</v>
      </c>
      <c r="AA174" s="30">
        <f t="shared" si="20"/>
        <v>8.8678830056920788E-8</v>
      </c>
      <c r="AB174" s="30">
        <f t="shared" si="21"/>
        <v>-1.3838693635470634E-8</v>
      </c>
      <c r="AC174" s="30">
        <f t="shared" si="22"/>
        <v>-8.1364531778760352E-8</v>
      </c>
      <c r="AD174" s="30">
        <f t="shared" si="23"/>
        <v>8.868803558215177E-8</v>
      </c>
      <c r="AE174" s="30"/>
      <c r="AF174" s="30"/>
      <c r="AG174" s="30"/>
    </row>
    <row r="175" spans="1:33" x14ac:dyDescent="0.25">
      <c r="A175" s="9" t="s">
        <v>131</v>
      </c>
      <c r="B175" s="9" t="s">
        <v>437</v>
      </c>
      <c r="C175" s="9" t="s">
        <v>75</v>
      </c>
      <c r="D175" s="9" t="s">
        <v>357</v>
      </c>
      <c r="E175" s="9" t="s">
        <v>358</v>
      </c>
      <c r="F175" s="9" t="s">
        <v>359</v>
      </c>
      <c r="G175" s="9" t="s">
        <v>276</v>
      </c>
      <c r="H175" s="9">
        <v>2008000062</v>
      </c>
      <c r="I175" s="9" t="s">
        <v>89</v>
      </c>
      <c r="J175" s="14">
        <v>1509</v>
      </c>
      <c r="K175" s="2" t="s">
        <v>237</v>
      </c>
      <c r="L175" s="31">
        <v>450.2</v>
      </c>
      <c r="M175" s="31">
        <v>316.2</v>
      </c>
      <c r="N175" s="31">
        <v>383.8</v>
      </c>
      <c r="O175" s="18">
        <v>450.24</v>
      </c>
      <c r="P175" s="18">
        <v>316.10000000000002</v>
      </c>
      <c r="Q175" s="18">
        <v>383.8</v>
      </c>
      <c r="R175" s="18"/>
      <c r="S175" s="18"/>
      <c r="T175" s="18"/>
      <c r="U175" s="17">
        <v>450.24</v>
      </c>
      <c r="V175" s="17">
        <v>316.10000000000002</v>
      </c>
      <c r="W175" s="17"/>
      <c r="Y175" s="30">
        <f t="shared" si="19"/>
        <v>8.884940026665511E-5</v>
      </c>
      <c r="Z175" s="30">
        <f t="shared" si="19"/>
        <v>-3.1625553447178767E-4</v>
      </c>
      <c r="AA175" s="30">
        <f t="shared" si="20"/>
        <v>0</v>
      </c>
      <c r="AB175" s="30"/>
      <c r="AC175" s="30"/>
      <c r="AD175" s="30"/>
      <c r="AE175" s="30">
        <f t="shared" si="17"/>
        <v>8.884940026665511E-5</v>
      </c>
      <c r="AF175" s="30">
        <f t="shared" si="18"/>
        <v>-3.1625553447178767E-4</v>
      </c>
      <c r="AG175" s="30"/>
    </row>
    <row r="176" spans="1:33" x14ac:dyDescent="0.25">
      <c r="A176" s="9" t="s">
        <v>131</v>
      </c>
      <c r="B176" s="9" t="s">
        <v>74</v>
      </c>
      <c r="C176" s="9" t="s">
        <v>75</v>
      </c>
      <c r="D176" s="9" t="s">
        <v>357</v>
      </c>
      <c r="E176" s="9" t="s">
        <v>358</v>
      </c>
      <c r="F176" s="9" t="s">
        <v>359</v>
      </c>
      <c r="G176" s="9" t="s">
        <v>276</v>
      </c>
      <c r="H176" s="9">
        <v>2008000062</v>
      </c>
      <c r="I176" s="9" t="s">
        <v>89</v>
      </c>
      <c r="J176" s="14">
        <v>1509</v>
      </c>
      <c r="K176" s="2" t="s">
        <v>238</v>
      </c>
      <c r="L176" s="31">
        <v>0</v>
      </c>
      <c r="M176" s="31">
        <v>0</v>
      </c>
      <c r="N176" s="31">
        <v>0</v>
      </c>
      <c r="O176" s="18"/>
      <c r="P176" s="18"/>
      <c r="Q176" s="18"/>
      <c r="R176" s="18"/>
      <c r="S176" s="18"/>
      <c r="T176" s="18"/>
      <c r="U176" s="17">
        <v>0</v>
      </c>
      <c r="V176" s="17">
        <v>0</v>
      </c>
      <c r="W176" s="17"/>
      <c r="Y176" s="30"/>
      <c r="Z176" s="30"/>
      <c r="AA176" s="30"/>
      <c r="AB176" s="30"/>
      <c r="AC176" s="30"/>
      <c r="AD176" s="30"/>
      <c r="AE176" s="30"/>
      <c r="AF176" s="30"/>
      <c r="AG176" s="30"/>
    </row>
    <row r="177" spans="1:33" x14ac:dyDescent="0.25">
      <c r="A177" s="9" t="s">
        <v>131</v>
      </c>
      <c r="B177" s="9" t="s">
        <v>74</v>
      </c>
      <c r="C177" s="9" t="s">
        <v>75</v>
      </c>
      <c r="D177" s="9" t="s">
        <v>357</v>
      </c>
      <c r="E177" s="9" t="s">
        <v>358</v>
      </c>
      <c r="F177" s="9" t="s">
        <v>359</v>
      </c>
      <c r="G177" s="9" t="s">
        <v>276</v>
      </c>
      <c r="H177" s="9">
        <v>2008000062</v>
      </c>
      <c r="I177" s="9" t="s">
        <v>89</v>
      </c>
      <c r="J177" s="14">
        <v>1509</v>
      </c>
      <c r="K177" s="2" t="s">
        <v>239</v>
      </c>
      <c r="L177" s="31">
        <v>431.3</v>
      </c>
      <c r="M177" s="31">
        <v>401.3</v>
      </c>
      <c r="N177" s="31">
        <v>342.2</v>
      </c>
      <c r="O177" s="18"/>
      <c r="P177" s="18"/>
      <c r="Q177" s="18"/>
      <c r="R177" s="18"/>
      <c r="S177" s="18"/>
      <c r="T177" s="18"/>
      <c r="U177" s="17"/>
      <c r="V177" s="17"/>
      <c r="W177" s="17"/>
      <c r="Y177" s="30"/>
      <c r="Z177" s="30"/>
      <c r="AA177" s="30"/>
      <c r="AB177" s="30"/>
      <c r="AC177" s="30"/>
      <c r="AD177" s="30"/>
      <c r="AE177" s="30"/>
      <c r="AF177" s="30"/>
      <c r="AG177" s="30"/>
    </row>
    <row r="178" spans="1:33" x14ac:dyDescent="0.25">
      <c r="A178" s="9" t="s">
        <v>131</v>
      </c>
      <c r="B178" s="9" t="s">
        <v>74</v>
      </c>
      <c r="C178" s="9" t="s">
        <v>75</v>
      </c>
      <c r="D178" s="9" t="s">
        <v>357</v>
      </c>
      <c r="E178" s="9" t="s">
        <v>358</v>
      </c>
      <c r="F178" s="9" t="s">
        <v>359</v>
      </c>
      <c r="G178" s="9" t="s">
        <v>276</v>
      </c>
      <c r="H178" s="9">
        <v>2008000062</v>
      </c>
      <c r="I178" s="9" t="s">
        <v>89</v>
      </c>
      <c r="J178" s="14">
        <v>1509</v>
      </c>
      <c r="K178" s="2" t="s">
        <v>240</v>
      </c>
      <c r="L178" s="31">
        <v>1631899</v>
      </c>
      <c r="M178" s="31">
        <v>1351087</v>
      </c>
      <c r="N178" s="31">
        <v>1584402</v>
      </c>
      <c r="O178" s="18">
        <v>1631910</v>
      </c>
      <c r="P178" s="18">
        <v>1351092</v>
      </c>
      <c r="Q178" s="18">
        <v>1584402</v>
      </c>
      <c r="R178" s="18">
        <v>1631910.0118211315</v>
      </c>
      <c r="S178" s="18">
        <v>1351091.5419730518</v>
      </c>
      <c r="T178" s="18">
        <v>1584401.7480649489</v>
      </c>
      <c r="U178" s="17"/>
      <c r="V178" s="17"/>
      <c r="W178" s="17"/>
      <c r="Y178" s="30">
        <f t="shared" si="19"/>
        <v>6.740613236466686E-6</v>
      </c>
      <c r="Z178" s="30">
        <f t="shared" si="19"/>
        <v>3.7007239355180133E-6</v>
      </c>
      <c r="AA178" s="30">
        <f t="shared" si="20"/>
        <v>0</v>
      </c>
      <c r="AB178" s="30">
        <f t="shared" si="21"/>
        <v>6.7478570251466863E-6</v>
      </c>
      <c r="AC178" s="30">
        <f t="shared" si="22"/>
        <v>3.3617176775635471E-6</v>
      </c>
      <c r="AD178" s="30">
        <f t="shared" si="23"/>
        <v>-1.5900955130376815E-7</v>
      </c>
      <c r="AE178" s="30"/>
      <c r="AF178" s="30"/>
      <c r="AG178" s="30"/>
    </row>
    <row r="179" spans="1:33" x14ac:dyDescent="0.25">
      <c r="A179" s="9" t="s">
        <v>132</v>
      </c>
      <c r="B179" s="9" t="s">
        <v>438</v>
      </c>
      <c r="C179" s="9" t="s">
        <v>77</v>
      </c>
      <c r="D179" s="9" t="s">
        <v>360</v>
      </c>
      <c r="E179" s="9" t="s">
        <v>361</v>
      </c>
      <c r="F179" s="9" t="s">
        <v>362</v>
      </c>
      <c r="G179" s="9" t="s">
        <v>279</v>
      </c>
      <c r="H179" s="9">
        <v>2010000204</v>
      </c>
      <c r="I179" s="9" t="s">
        <v>89</v>
      </c>
      <c r="J179" s="14">
        <v>826</v>
      </c>
      <c r="K179" s="2" t="s">
        <v>237</v>
      </c>
      <c r="L179" s="31">
        <v>364.2</v>
      </c>
      <c r="M179" s="31">
        <v>339.5</v>
      </c>
      <c r="N179" s="31">
        <v>393</v>
      </c>
      <c r="O179" s="18">
        <v>364.15730000000002</v>
      </c>
      <c r="P179" s="18">
        <v>339.52</v>
      </c>
      <c r="Q179" s="18">
        <v>393.01190000000003</v>
      </c>
      <c r="R179" s="18"/>
      <c r="S179" s="18"/>
      <c r="T179" s="18"/>
      <c r="U179" s="17">
        <v>364.15730000000002</v>
      </c>
      <c r="V179" s="17">
        <v>339.5093</v>
      </c>
      <c r="W179" s="17"/>
      <c r="Y179" s="30">
        <f t="shared" si="19"/>
        <v>-1.1724327292683689E-4</v>
      </c>
      <c r="Z179" s="30">
        <f t="shared" si="19"/>
        <v>5.8910162002989708E-5</v>
      </c>
      <c r="AA179" s="30">
        <f t="shared" si="20"/>
        <v>3.0279898218799062E-5</v>
      </c>
      <c r="AB179" s="30"/>
      <c r="AC179" s="30"/>
      <c r="AD179" s="30"/>
      <c r="AE179" s="30">
        <f t="shared" si="17"/>
        <v>-1.1724327292683689E-4</v>
      </c>
      <c r="AF179" s="30">
        <f t="shared" si="18"/>
        <v>2.7393225331406867E-5</v>
      </c>
      <c r="AG179" s="30"/>
    </row>
    <row r="180" spans="1:33" x14ac:dyDescent="0.25">
      <c r="A180" s="9" t="s">
        <v>132</v>
      </c>
      <c r="B180" s="9" t="s">
        <v>76</v>
      </c>
      <c r="C180" s="9" t="s">
        <v>77</v>
      </c>
      <c r="D180" s="9" t="s">
        <v>360</v>
      </c>
      <c r="E180" s="9" t="s">
        <v>361</v>
      </c>
      <c r="F180" s="9" t="s">
        <v>362</v>
      </c>
      <c r="G180" s="9" t="s">
        <v>279</v>
      </c>
      <c r="H180" s="9">
        <v>2010000204</v>
      </c>
      <c r="I180" s="9" t="s">
        <v>89</v>
      </c>
      <c r="J180" s="14">
        <v>826</v>
      </c>
      <c r="K180" s="2" t="s">
        <v>238</v>
      </c>
      <c r="L180" s="31">
        <v>42.9</v>
      </c>
      <c r="M180" s="31">
        <v>33.799999999999997</v>
      </c>
      <c r="N180" s="31">
        <v>42.4</v>
      </c>
      <c r="O180" s="18"/>
      <c r="P180" s="18"/>
      <c r="Q180" s="18"/>
      <c r="R180" s="18"/>
      <c r="S180" s="18"/>
      <c r="T180" s="18"/>
      <c r="U180" s="17">
        <v>42.851399999999998</v>
      </c>
      <c r="V180" s="17">
        <v>33.8429</v>
      </c>
      <c r="W180" s="17"/>
      <c r="Y180" s="30"/>
      <c r="Z180" s="30"/>
      <c r="AA180" s="30"/>
      <c r="AB180" s="30"/>
      <c r="AC180" s="30"/>
      <c r="AD180" s="30"/>
      <c r="AE180" s="30">
        <f t="shared" si="17"/>
        <v>-1.1328671328670881E-3</v>
      </c>
      <c r="AF180" s="30">
        <f t="shared" si="18"/>
        <v>1.2692307692308002E-3</v>
      </c>
      <c r="AG180" s="30"/>
    </row>
    <row r="181" spans="1:33" x14ac:dyDescent="0.25">
      <c r="A181" s="9" t="s">
        <v>132</v>
      </c>
      <c r="B181" s="9" t="s">
        <v>76</v>
      </c>
      <c r="C181" s="9" t="s">
        <v>77</v>
      </c>
      <c r="D181" s="9" t="s">
        <v>360</v>
      </c>
      <c r="E181" s="9" t="s">
        <v>361</v>
      </c>
      <c r="F181" s="9" t="s">
        <v>362</v>
      </c>
      <c r="G181" s="9" t="s">
        <v>279</v>
      </c>
      <c r="H181" s="9">
        <v>2010000204</v>
      </c>
      <c r="I181" s="9" t="s">
        <v>89</v>
      </c>
      <c r="J181" s="14">
        <v>826</v>
      </c>
      <c r="K181" s="2" t="s">
        <v>239</v>
      </c>
      <c r="L181" s="31">
        <v>44</v>
      </c>
      <c r="M181" s="31">
        <v>41.7</v>
      </c>
      <c r="N181" s="31">
        <v>45.3</v>
      </c>
      <c r="O181" s="18"/>
      <c r="P181" s="18"/>
      <c r="Q181" s="18"/>
      <c r="R181" s="18"/>
      <c r="S181" s="18"/>
      <c r="T181" s="18"/>
      <c r="U181" s="17"/>
      <c r="V181" s="17"/>
      <c r="W181" s="17"/>
      <c r="Y181" s="30"/>
      <c r="Z181" s="30"/>
      <c r="AA181" s="30"/>
      <c r="AB181" s="30"/>
      <c r="AC181" s="30"/>
      <c r="AD181" s="30"/>
      <c r="AE181" s="30"/>
      <c r="AF181" s="30"/>
      <c r="AG181" s="30"/>
    </row>
    <row r="182" spans="1:33" x14ac:dyDescent="0.25">
      <c r="A182" s="9" t="s">
        <v>132</v>
      </c>
      <c r="B182" s="9" t="s">
        <v>76</v>
      </c>
      <c r="C182" s="9" t="s">
        <v>77</v>
      </c>
      <c r="D182" s="9" t="s">
        <v>360</v>
      </c>
      <c r="E182" s="9" t="s">
        <v>361</v>
      </c>
      <c r="F182" s="9" t="s">
        <v>362</v>
      </c>
      <c r="G182" s="9" t="s">
        <v>279</v>
      </c>
      <c r="H182" s="9">
        <v>2010000204</v>
      </c>
      <c r="I182" s="9" t="s">
        <v>89</v>
      </c>
      <c r="J182" s="14">
        <v>826</v>
      </c>
      <c r="K182" s="2" t="s">
        <v>240</v>
      </c>
      <c r="L182" s="31">
        <v>1130171</v>
      </c>
      <c r="M182" s="31">
        <v>1008423</v>
      </c>
      <c r="N182" s="31">
        <v>1154869</v>
      </c>
      <c r="O182" s="18">
        <v>1130171.4924000001</v>
      </c>
      <c r="P182" s="18">
        <v>1008419</v>
      </c>
      <c r="Q182" s="18">
        <v>1154869.1598</v>
      </c>
      <c r="R182" s="18">
        <v>1130171.4924758542</v>
      </c>
      <c r="S182" s="18">
        <v>1008423.2601620946</v>
      </c>
      <c r="T182" s="18">
        <v>1154869.1597213668</v>
      </c>
      <c r="U182" s="17"/>
      <c r="V182" s="17"/>
      <c r="W182" s="17"/>
      <c r="Y182" s="30">
        <f t="shared" si="19"/>
        <v>4.3568628127488296E-7</v>
      </c>
      <c r="Z182" s="30">
        <f t="shared" si="19"/>
        <v>-3.9665894173701588E-6</v>
      </c>
      <c r="AA182" s="30">
        <f t="shared" si="20"/>
        <v>1.38370672475574E-7</v>
      </c>
      <c r="AB182" s="30">
        <f t="shared" si="21"/>
        <v>4.3575339847556904E-7</v>
      </c>
      <c r="AC182" s="30">
        <f t="shared" si="22"/>
        <v>2.5798905278762163E-7</v>
      </c>
      <c r="AD182" s="30">
        <f t="shared" si="23"/>
        <v>1.3830258405178597E-7</v>
      </c>
      <c r="AE182" s="30"/>
      <c r="AF182" s="30"/>
      <c r="AG182" s="30"/>
    </row>
    <row r="183" spans="1:33" x14ac:dyDescent="0.25">
      <c r="A183" s="9" t="s">
        <v>133</v>
      </c>
      <c r="B183" s="9" t="s">
        <v>439</v>
      </c>
      <c r="C183" s="9" t="s">
        <v>78</v>
      </c>
      <c r="D183" s="9" t="s">
        <v>363</v>
      </c>
      <c r="E183" s="9" t="s">
        <v>364</v>
      </c>
      <c r="F183" s="9" t="s">
        <v>365</v>
      </c>
      <c r="G183" s="9" t="s">
        <v>248</v>
      </c>
      <c r="H183" s="9">
        <v>2012000027</v>
      </c>
      <c r="I183" s="9" t="s">
        <v>89</v>
      </c>
      <c r="J183" s="14">
        <v>1689</v>
      </c>
      <c r="K183" s="2" t="s">
        <v>237</v>
      </c>
      <c r="L183" s="17">
        <v>189.1413</v>
      </c>
      <c r="M183" s="17">
        <v>195.32749999999999</v>
      </c>
      <c r="N183" s="17">
        <v>223.8246</v>
      </c>
      <c r="O183" s="18">
        <v>189.1413</v>
      </c>
      <c r="P183" s="18">
        <v>188.25989999999999</v>
      </c>
      <c r="Q183" s="18">
        <v>217.0915</v>
      </c>
      <c r="R183" s="18"/>
      <c r="S183" s="18"/>
      <c r="T183" s="18"/>
      <c r="U183" s="17">
        <v>189</v>
      </c>
      <c r="V183" s="17">
        <v>195</v>
      </c>
      <c r="W183" s="17"/>
      <c r="Y183" s="30">
        <f t="shared" si="19"/>
        <v>0</v>
      </c>
      <c r="Z183" s="30">
        <f t="shared" si="19"/>
        <v>-3.6183333120016425E-2</v>
      </c>
      <c r="AA183" s="30">
        <f t="shared" si="20"/>
        <v>-3.0082037452541011E-2</v>
      </c>
      <c r="AB183" s="30"/>
      <c r="AC183" s="30"/>
      <c r="AD183" s="30"/>
      <c r="AE183" s="30">
        <f t="shared" si="17"/>
        <v>-7.4706053093642755E-4</v>
      </c>
      <c r="AF183" s="30">
        <f t="shared" si="18"/>
        <v>-1.6766712316493848E-3</v>
      </c>
      <c r="AG183" s="30"/>
    </row>
    <row r="184" spans="1:33" x14ac:dyDescent="0.25">
      <c r="A184" s="9" t="s">
        <v>133</v>
      </c>
      <c r="B184" s="9" t="s">
        <v>33</v>
      </c>
      <c r="C184" s="9" t="s">
        <v>78</v>
      </c>
      <c r="D184" s="9" t="s">
        <v>363</v>
      </c>
      <c r="E184" s="9" t="s">
        <v>364</v>
      </c>
      <c r="F184" s="9" t="s">
        <v>365</v>
      </c>
      <c r="G184" s="9" t="s">
        <v>248</v>
      </c>
      <c r="H184" s="9">
        <v>2012000027</v>
      </c>
      <c r="I184" s="9" t="s">
        <v>89</v>
      </c>
      <c r="J184" s="14">
        <v>1689</v>
      </c>
      <c r="K184" s="2" t="s">
        <v>238</v>
      </c>
      <c r="L184" s="31">
        <v>0</v>
      </c>
      <c r="M184" s="31">
        <v>0</v>
      </c>
      <c r="N184" s="31">
        <v>0</v>
      </c>
      <c r="O184" s="18"/>
      <c r="P184" s="18"/>
      <c r="Q184" s="18"/>
      <c r="R184" s="18"/>
      <c r="S184" s="18"/>
      <c r="T184" s="18"/>
      <c r="U184" s="17">
        <v>0</v>
      </c>
      <c r="V184" s="17">
        <v>0</v>
      </c>
      <c r="W184" s="17"/>
      <c r="Y184" s="30"/>
      <c r="Z184" s="30"/>
      <c r="AA184" s="30"/>
      <c r="AB184" s="30"/>
      <c r="AC184" s="30"/>
      <c r="AD184" s="30"/>
      <c r="AE184" s="30"/>
      <c r="AF184" s="30"/>
      <c r="AG184" s="30"/>
    </row>
    <row r="185" spans="1:33" x14ac:dyDescent="0.25">
      <c r="A185" s="9" t="s">
        <v>133</v>
      </c>
      <c r="B185" s="9" t="s">
        <v>33</v>
      </c>
      <c r="C185" s="9" t="s">
        <v>78</v>
      </c>
      <c r="D185" s="9" t="s">
        <v>363</v>
      </c>
      <c r="E185" s="9" t="s">
        <v>364</v>
      </c>
      <c r="F185" s="9" t="s">
        <v>365</v>
      </c>
      <c r="G185" s="9" t="s">
        <v>248</v>
      </c>
      <c r="H185" s="9">
        <v>2012000027</v>
      </c>
      <c r="I185" s="9" t="s">
        <v>89</v>
      </c>
      <c r="J185" s="14">
        <v>1689</v>
      </c>
      <c r="K185" s="2" t="s">
        <v>239</v>
      </c>
      <c r="L185" s="17">
        <v>255.76349999999999</v>
      </c>
      <c r="M185" s="17">
        <v>263.49759999999998</v>
      </c>
      <c r="N185" s="17">
        <v>238.36199999999999</v>
      </c>
      <c r="O185" s="18"/>
      <c r="P185" s="18"/>
      <c r="Q185" s="18"/>
      <c r="R185" s="18"/>
      <c r="S185" s="18"/>
      <c r="T185" s="18"/>
      <c r="U185" s="17"/>
      <c r="V185" s="17"/>
      <c r="W185" s="17"/>
      <c r="Y185" s="30"/>
      <c r="Z185" s="30"/>
      <c r="AA185" s="30"/>
      <c r="AB185" s="30"/>
      <c r="AC185" s="30"/>
      <c r="AD185" s="30"/>
      <c r="AE185" s="30"/>
      <c r="AF185" s="30"/>
      <c r="AG185" s="30"/>
    </row>
    <row r="186" spans="1:33" x14ac:dyDescent="0.25">
      <c r="A186" s="9" t="s">
        <v>133</v>
      </c>
      <c r="B186" s="9" t="s">
        <v>33</v>
      </c>
      <c r="C186" s="9" t="s">
        <v>78</v>
      </c>
      <c r="D186" s="9" t="s">
        <v>363</v>
      </c>
      <c r="E186" s="9" t="s">
        <v>364</v>
      </c>
      <c r="F186" s="9" t="s">
        <v>365</v>
      </c>
      <c r="G186" s="9" t="s">
        <v>248</v>
      </c>
      <c r="H186" s="9">
        <v>2012000027</v>
      </c>
      <c r="I186" s="9" t="s">
        <v>89</v>
      </c>
      <c r="J186" s="14">
        <v>1689</v>
      </c>
      <c r="K186" s="2" t="s">
        <v>240</v>
      </c>
      <c r="L186" s="31">
        <v>698122</v>
      </c>
      <c r="M186" s="31">
        <v>766552</v>
      </c>
      <c r="N186" s="31">
        <v>874398</v>
      </c>
      <c r="O186" s="18">
        <v>698092.21160000004</v>
      </c>
      <c r="P186" s="18">
        <v>766536.72549999994</v>
      </c>
      <c r="Q186" s="18">
        <v>874397.92409999995</v>
      </c>
      <c r="R186" s="18">
        <v>698122.32211231999</v>
      </c>
      <c r="S186" s="18">
        <v>766043.07075334585</v>
      </c>
      <c r="T186" s="18">
        <v>874397.92638619605</v>
      </c>
      <c r="U186" s="17"/>
      <c r="V186" s="17"/>
      <c r="W186" s="17"/>
      <c r="Y186" s="30">
        <f t="shared" si="19"/>
        <v>-4.266933286722896E-5</v>
      </c>
      <c r="Z186" s="30">
        <f t="shared" si="19"/>
        <v>-1.9926241142220746E-5</v>
      </c>
      <c r="AA186" s="30">
        <f t="shared" si="20"/>
        <v>-8.680257734816621E-8</v>
      </c>
      <c r="AB186" s="30">
        <f t="shared" si="21"/>
        <v>4.6139832288183413E-7</v>
      </c>
      <c r="AC186" s="30">
        <f t="shared" si="22"/>
        <v>-6.6392005585291791E-4</v>
      </c>
      <c r="AD186" s="30">
        <f t="shared" si="23"/>
        <v>-8.4187983029337943E-8</v>
      </c>
      <c r="AE186" s="30"/>
      <c r="AF186" s="30"/>
      <c r="AG186" s="30"/>
    </row>
    <row r="187" spans="1:33" x14ac:dyDescent="0.25">
      <c r="A187" s="9" t="s">
        <v>134</v>
      </c>
      <c r="B187" s="9" t="s">
        <v>440</v>
      </c>
      <c r="C187" s="9" t="s">
        <v>80</v>
      </c>
      <c r="D187" s="9" t="s">
        <v>366</v>
      </c>
      <c r="E187" s="9" t="s">
        <v>367</v>
      </c>
      <c r="F187" s="9" t="s">
        <v>368</v>
      </c>
      <c r="G187" s="9" t="s">
        <v>302</v>
      </c>
      <c r="H187" s="9">
        <v>2014000033</v>
      </c>
      <c r="I187" s="9" t="s">
        <v>89</v>
      </c>
      <c r="J187" s="14">
        <v>591</v>
      </c>
      <c r="K187" s="2" t="s">
        <v>237</v>
      </c>
      <c r="L187" s="31">
        <v>136</v>
      </c>
      <c r="M187" s="31">
        <v>119</v>
      </c>
      <c r="N187" s="31">
        <v>128</v>
      </c>
      <c r="O187" s="18">
        <v>136.03</v>
      </c>
      <c r="P187" s="18">
        <v>118.96</v>
      </c>
      <c r="Q187" s="18">
        <v>128.03700000000001</v>
      </c>
      <c r="R187" s="18"/>
      <c r="S187" s="18"/>
      <c r="T187" s="18"/>
      <c r="U187" s="17">
        <v>136.02624</v>
      </c>
      <c r="V187" s="17">
        <v>118.96</v>
      </c>
      <c r="W187" s="17"/>
      <c r="Y187" s="30">
        <f t="shared" si="19"/>
        <v>2.2058823529413907E-4</v>
      </c>
      <c r="Z187" s="30">
        <f t="shared" si="19"/>
        <v>-3.3613445378155582E-4</v>
      </c>
      <c r="AA187" s="30">
        <f t="shared" si="20"/>
        <v>2.8906250000004796E-4</v>
      </c>
      <c r="AB187" s="30"/>
      <c r="AC187" s="30"/>
      <c r="AD187" s="30"/>
      <c r="AE187" s="30">
        <f t="shared" si="17"/>
        <v>1.929411764705069E-4</v>
      </c>
      <c r="AF187" s="30">
        <f t="shared" si="18"/>
        <v>-3.3613445378155582E-4</v>
      </c>
      <c r="AG187" s="30"/>
    </row>
    <row r="188" spans="1:33" x14ac:dyDescent="0.25">
      <c r="A188" s="9" t="s">
        <v>134</v>
      </c>
      <c r="B188" s="9" t="s">
        <v>79</v>
      </c>
      <c r="C188" s="9" t="s">
        <v>80</v>
      </c>
      <c r="D188" s="9" t="s">
        <v>366</v>
      </c>
      <c r="E188" s="9" t="s">
        <v>367</v>
      </c>
      <c r="F188" s="9" t="s">
        <v>368</v>
      </c>
      <c r="G188" s="9" t="s">
        <v>302</v>
      </c>
      <c r="H188" s="9">
        <v>2014000033</v>
      </c>
      <c r="I188" s="9" t="s">
        <v>89</v>
      </c>
      <c r="J188" s="14">
        <v>591</v>
      </c>
      <c r="K188" s="2" t="s">
        <v>238</v>
      </c>
      <c r="L188" s="31">
        <v>0</v>
      </c>
      <c r="M188" s="31">
        <v>0</v>
      </c>
      <c r="N188" s="31">
        <v>0</v>
      </c>
      <c r="O188" s="18"/>
      <c r="P188" s="18"/>
      <c r="Q188" s="18"/>
      <c r="R188" s="18"/>
      <c r="S188" s="18"/>
      <c r="T188" s="18"/>
      <c r="U188" s="17">
        <v>0</v>
      </c>
      <c r="V188" s="17">
        <v>0</v>
      </c>
      <c r="W188" s="17"/>
      <c r="Y188" s="30"/>
      <c r="Z188" s="30"/>
      <c r="AA188" s="30"/>
      <c r="AB188" s="30"/>
      <c r="AC188" s="30"/>
      <c r="AD188" s="30"/>
      <c r="AE188" s="30"/>
      <c r="AF188" s="30"/>
      <c r="AG188" s="30"/>
    </row>
    <row r="189" spans="1:33" x14ac:dyDescent="0.25">
      <c r="A189" s="9" t="s">
        <v>134</v>
      </c>
      <c r="B189" s="9" t="s">
        <v>79</v>
      </c>
      <c r="C189" s="9" t="s">
        <v>80</v>
      </c>
      <c r="D189" s="9" t="s">
        <v>366</v>
      </c>
      <c r="E189" s="9" t="s">
        <v>367</v>
      </c>
      <c r="F189" s="9" t="s">
        <v>368</v>
      </c>
      <c r="G189" s="9" t="s">
        <v>302</v>
      </c>
      <c r="H189" s="9">
        <v>2014000033</v>
      </c>
      <c r="I189" s="9" t="s">
        <v>89</v>
      </c>
      <c r="J189" s="14">
        <v>591</v>
      </c>
      <c r="K189" s="2" t="s">
        <v>239</v>
      </c>
      <c r="L189" s="31">
        <v>98</v>
      </c>
      <c r="M189" s="31">
        <v>83</v>
      </c>
      <c r="N189" s="31">
        <v>91</v>
      </c>
      <c r="O189" s="18"/>
      <c r="P189" s="18"/>
      <c r="Q189" s="18">
        <v>90.504999999999995</v>
      </c>
      <c r="R189" s="18"/>
      <c r="S189" s="18"/>
      <c r="T189" s="18"/>
      <c r="U189" s="17"/>
      <c r="V189" s="17"/>
      <c r="W189" s="17"/>
      <c r="Y189" s="30"/>
      <c r="Z189" s="30"/>
      <c r="AA189" s="30">
        <f t="shared" si="20"/>
        <v>-5.4395604395605091E-3</v>
      </c>
      <c r="AB189" s="30"/>
      <c r="AC189" s="30"/>
      <c r="AD189" s="30"/>
      <c r="AE189" s="30"/>
      <c r="AF189" s="30"/>
      <c r="AG189" s="30"/>
    </row>
    <row r="190" spans="1:33" x14ac:dyDescent="0.25">
      <c r="A190" s="9" t="s">
        <v>134</v>
      </c>
      <c r="B190" s="9" t="s">
        <v>79</v>
      </c>
      <c r="C190" s="9" t="s">
        <v>80</v>
      </c>
      <c r="D190" s="9" t="s">
        <v>366</v>
      </c>
      <c r="E190" s="9" t="s">
        <v>367</v>
      </c>
      <c r="F190" s="9" t="s">
        <v>368</v>
      </c>
      <c r="G190" s="9" t="s">
        <v>302</v>
      </c>
      <c r="H190" s="9">
        <v>2014000033</v>
      </c>
      <c r="I190" s="9" t="s">
        <v>89</v>
      </c>
      <c r="J190" s="14">
        <v>591</v>
      </c>
      <c r="K190" s="2" t="s">
        <v>240</v>
      </c>
      <c r="L190" s="31">
        <v>326710</v>
      </c>
      <c r="M190" s="31">
        <v>315300</v>
      </c>
      <c r="N190" s="31">
        <v>308960</v>
      </c>
      <c r="O190" s="18">
        <v>326715</v>
      </c>
      <c r="P190" s="18">
        <v>314252</v>
      </c>
      <c r="Q190" s="18">
        <v>308957</v>
      </c>
      <c r="R190" s="18">
        <v>326715.00536398723</v>
      </c>
      <c r="S190" s="18">
        <v>314251.82372742065</v>
      </c>
      <c r="T190" s="18">
        <v>308956.5473135247</v>
      </c>
      <c r="U190" s="17"/>
      <c r="V190" s="17"/>
      <c r="W190" s="17"/>
      <c r="Y190" s="30">
        <f t="shared" si="19"/>
        <v>1.530409231431662E-5</v>
      </c>
      <c r="Z190" s="30">
        <f t="shared" si="19"/>
        <v>-3.3238185854741475E-3</v>
      </c>
      <c r="AA190" s="30">
        <f t="shared" si="20"/>
        <v>-9.7099948213053011E-6</v>
      </c>
      <c r="AB190" s="30">
        <f t="shared" si="21"/>
        <v>1.5320510505345553E-5</v>
      </c>
      <c r="AC190" s="30">
        <f t="shared" si="22"/>
        <v>-3.3243776485231136E-3</v>
      </c>
      <c r="AD190" s="30">
        <f t="shared" si="23"/>
        <v>-1.1175189264966967E-5</v>
      </c>
      <c r="AE190" s="30"/>
      <c r="AF190" s="30"/>
      <c r="AG190" s="30"/>
    </row>
    <row r="191" spans="1:33" x14ac:dyDescent="0.25">
      <c r="A191" s="9" t="s">
        <v>135</v>
      </c>
      <c r="B191" s="9" t="s">
        <v>441</v>
      </c>
      <c r="C191" s="9" t="s">
        <v>82</v>
      </c>
      <c r="D191" s="9" t="s">
        <v>369</v>
      </c>
      <c r="E191" s="9" t="s">
        <v>370</v>
      </c>
      <c r="F191" s="9" t="s">
        <v>247</v>
      </c>
      <c r="G191" s="9" t="s">
        <v>248</v>
      </c>
      <c r="H191" s="9">
        <v>2012000104</v>
      </c>
      <c r="I191" s="9" t="s">
        <v>89</v>
      </c>
      <c r="J191" s="14">
        <v>1694</v>
      </c>
      <c r="K191" s="2" t="s">
        <v>237</v>
      </c>
      <c r="L191" s="31">
        <v>28.98</v>
      </c>
      <c r="M191" s="31">
        <v>36.1</v>
      </c>
      <c r="N191" s="31">
        <v>38.69</v>
      </c>
      <c r="O191" s="18"/>
      <c r="P191" s="18"/>
      <c r="Q191" s="18"/>
      <c r="R191" s="18"/>
      <c r="S191" s="18"/>
      <c r="T191" s="18"/>
      <c r="U191" s="17">
        <v>28.97</v>
      </c>
      <c r="V191" s="17">
        <v>33.89</v>
      </c>
      <c r="W191" s="17"/>
      <c r="Y191" s="30"/>
      <c r="Z191" s="30"/>
      <c r="AA191" s="30"/>
      <c r="AB191" s="30"/>
      <c r="AC191" s="30"/>
      <c r="AD191" s="30"/>
      <c r="AE191" s="30">
        <f t="shared" si="17"/>
        <v>-3.4506556245694764E-4</v>
      </c>
      <c r="AF191" s="30">
        <f t="shared" si="18"/>
        <v>-6.1218836565096968E-2</v>
      </c>
      <c r="AG191" s="30"/>
    </row>
    <row r="192" spans="1:33" x14ac:dyDescent="0.25">
      <c r="A192" s="9" t="s">
        <v>135</v>
      </c>
      <c r="B192" s="9" t="s">
        <v>81</v>
      </c>
      <c r="C192" s="9" t="s">
        <v>82</v>
      </c>
      <c r="D192" s="9" t="s">
        <v>369</v>
      </c>
      <c r="E192" s="9" t="s">
        <v>370</v>
      </c>
      <c r="F192" s="9" t="s">
        <v>247</v>
      </c>
      <c r="G192" s="9" t="s">
        <v>248</v>
      </c>
      <c r="H192" s="9">
        <v>2012000104</v>
      </c>
      <c r="I192" s="9" t="s">
        <v>89</v>
      </c>
      <c r="J192" s="14">
        <v>1694</v>
      </c>
      <c r="K192" s="2" t="s">
        <v>238</v>
      </c>
      <c r="L192" s="31">
        <v>0</v>
      </c>
      <c r="M192" s="31">
        <v>0</v>
      </c>
      <c r="N192" s="31">
        <v>0</v>
      </c>
      <c r="O192" s="18"/>
      <c r="P192" s="18"/>
      <c r="Q192" s="18"/>
      <c r="R192" s="18"/>
      <c r="S192" s="18"/>
      <c r="T192" s="18"/>
      <c r="U192" s="17">
        <v>0.58499999999999996</v>
      </c>
      <c r="V192" s="17">
        <v>0.78</v>
      </c>
      <c r="W192" s="17"/>
      <c r="Y192" s="30"/>
      <c r="Z192" s="30"/>
      <c r="AA192" s="30"/>
      <c r="AB192" s="30"/>
      <c r="AC192" s="30"/>
      <c r="AD192" s="30"/>
      <c r="AE192" s="30"/>
      <c r="AF192" s="30"/>
      <c r="AG192" s="30"/>
    </row>
    <row r="193" spans="1:33" x14ac:dyDescent="0.25">
      <c r="A193" s="9" t="s">
        <v>135</v>
      </c>
      <c r="B193" s="9" t="s">
        <v>81</v>
      </c>
      <c r="C193" s="9" t="s">
        <v>82</v>
      </c>
      <c r="D193" s="9" t="s">
        <v>369</v>
      </c>
      <c r="E193" s="9" t="s">
        <v>370</v>
      </c>
      <c r="F193" s="9" t="s">
        <v>247</v>
      </c>
      <c r="G193" s="9" t="s">
        <v>248</v>
      </c>
      <c r="H193" s="9">
        <v>2012000104</v>
      </c>
      <c r="I193" s="9" t="s">
        <v>89</v>
      </c>
      <c r="J193" s="14">
        <v>1694</v>
      </c>
      <c r="K193" s="2" t="s">
        <v>239</v>
      </c>
      <c r="L193" s="31">
        <v>1.18</v>
      </c>
      <c r="M193" s="31">
        <v>2.54</v>
      </c>
      <c r="N193" s="31">
        <v>4.24</v>
      </c>
      <c r="O193" s="18"/>
      <c r="P193" s="18"/>
      <c r="Q193" s="18"/>
      <c r="R193" s="18"/>
      <c r="S193" s="18"/>
      <c r="T193" s="18"/>
      <c r="U193" s="17"/>
      <c r="V193" s="17"/>
      <c r="W193" s="17"/>
      <c r="Y193" s="30"/>
      <c r="Z193" s="30"/>
      <c r="AA193" s="30"/>
      <c r="AB193" s="30"/>
      <c r="AC193" s="30"/>
      <c r="AD193" s="30"/>
      <c r="AE193" s="30"/>
      <c r="AF193" s="30"/>
      <c r="AG193" s="30"/>
    </row>
    <row r="194" spans="1:33" x14ac:dyDescent="0.25">
      <c r="A194" s="9" t="s">
        <v>135</v>
      </c>
      <c r="B194" s="9" t="s">
        <v>81</v>
      </c>
      <c r="C194" s="9" t="s">
        <v>82</v>
      </c>
      <c r="D194" s="9" t="s">
        <v>369</v>
      </c>
      <c r="E194" s="9" t="s">
        <v>370</v>
      </c>
      <c r="F194" s="9" t="s">
        <v>247</v>
      </c>
      <c r="G194" s="9" t="s">
        <v>248</v>
      </c>
      <c r="H194" s="9">
        <v>2012000104</v>
      </c>
      <c r="I194" s="9" t="s">
        <v>89</v>
      </c>
      <c r="J194" s="14">
        <v>1694</v>
      </c>
      <c r="K194" s="2" t="s">
        <v>240</v>
      </c>
      <c r="L194" s="31">
        <v>85919</v>
      </c>
      <c r="M194" s="31">
        <v>112223</v>
      </c>
      <c r="N194" s="31">
        <v>123068</v>
      </c>
      <c r="O194" s="18"/>
      <c r="P194" s="18">
        <v>112223</v>
      </c>
      <c r="Q194" s="18">
        <v>123068</v>
      </c>
      <c r="R194" s="18">
        <v>85919.465120563691</v>
      </c>
      <c r="S194" s="18">
        <v>112222.8425884217</v>
      </c>
      <c r="T194" s="18">
        <v>123067.78975136711</v>
      </c>
      <c r="U194" s="17"/>
      <c r="V194" s="17"/>
      <c r="W194" s="17"/>
      <c r="Y194" s="30"/>
      <c r="Z194" s="30">
        <f t="shared" si="19"/>
        <v>0</v>
      </c>
      <c r="AA194" s="30">
        <f t="shared" si="20"/>
        <v>0</v>
      </c>
      <c r="AB194" s="30">
        <f t="shared" si="21"/>
        <v>5.4134773879166431E-6</v>
      </c>
      <c r="AC194" s="30">
        <f t="shared" si="22"/>
        <v>-1.4026677089828965E-6</v>
      </c>
      <c r="AD194" s="30">
        <f t="shared" si="23"/>
        <v>-1.7083940008211229E-6</v>
      </c>
      <c r="AE194" s="30"/>
      <c r="AF194" s="30"/>
      <c r="AG194" s="30"/>
    </row>
    <row r="195" spans="1:33" x14ac:dyDescent="0.25">
      <c r="A195" s="9" t="s">
        <v>136</v>
      </c>
      <c r="B195" s="9" t="s">
        <v>442</v>
      </c>
      <c r="C195" s="9" t="s">
        <v>83</v>
      </c>
      <c r="D195" s="9" t="s">
        <v>371</v>
      </c>
      <c r="E195" s="9" t="s">
        <v>372</v>
      </c>
      <c r="F195" s="9" t="s">
        <v>251</v>
      </c>
      <c r="G195" s="9" t="s">
        <v>244</v>
      </c>
      <c r="H195" s="9">
        <v>2010000282</v>
      </c>
      <c r="I195" s="9" t="s">
        <v>89</v>
      </c>
      <c r="J195" s="14">
        <v>1656</v>
      </c>
      <c r="K195" s="2" t="s">
        <v>237</v>
      </c>
      <c r="L195" s="31">
        <v>167.36</v>
      </c>
      <c r="M195" s="31">
        <v>190.839</v>
      </c>
      <c r="N195" s="31">
        <v>251.06399999999999</v>
      </c>
      <c r="O195" s="18">
        <v>164.46559999999999</v>
      </c>
      <c r="P195" s="18">
        <v>180.14769999999999</v>
      </c>
      <c r="Q195" s="18">
        <v>241.18199999999999</v>
      </c>
      <c r="R195" s="18"/>
      <c r="S195" s="18"/>
      <c r="T195" s="18"/>
      <c r="U195" s="17">
        <v>164</v>
      </c>
      <c r="V195" s="17">
        <v>188</v>
      </c>
      <c r="W195" s="17"/>
      <c r="Y195" s="30">
        <f t="shared" si="19"/>
        <v>-1.7294455066921732E-2</v>
      </c>
      <c r="Z195" s="39">
        <f t="shared" si="19"/>
        <v>-5.602261592232205E-2</v>
      </c>
      <c r="AA195" s="30">
        <f t="shared" si="20"/>
        <v>-3.9360481789503909E-2</v>
      </c>
      <c r="AB195" s="30"/>
      <c r="AC195" s="30"/>
      <c r="AD195" s="30"/>
      <c r="AE195" s="30">
        <f t="shared" si="17"/>
        <v>-2.0076481835564097E-2</v>
      </c>
      <c r="AF195" s="30">
        <f t="shared" si="18"/>
        <v>-1.487641415014751E-2</v>
      </c>
      <c r="AG195" s="30"/>
    </row>
    <row r="196" spans="1:33" x14ac:dyDescent="0.25">
      <c r="A196" s="9" t="s">
        <v>136</v>
      </c>
      <c r="B196" s="9" t="s">
        <v>33</v>
      </c>
      <c r="C196" s="9" t="s">
        <v>83</v>
      </c>
      <c r="D196" s="9" t="s">
        <v>371</v>
      </c>
      <c r="E196" s="9" t="s">
        <v>372</v>
      </c>
      <c r="F196" s="9" t="s">
        <v>251</v>
      </c>
      <c r="G196" s="9" t="s">
        <v>244</v>
      </c>
      <c r="H196" s="9">
        <v>2010000282</v>
      </c>
      <c r="I196" s="9" t="s">
        <v>89</v>
      </c>
      <c r="J196" s="14">
        <v>1656</v>
      </c>
      <c r="K196" s="2" t="s">
        <v>238</v>
      </c>
      <c r="L196" s="31">
        <v>0</v>
      </c>
      <c r="M196" s="31">
        <v>0</v>
      </c>
      <c r="N196" s="31">
        <v>0</v>
      </c>
      <c r="O196" s="18"/>
      <c r="P196" s="18"/>
      <c r="Q196" s="18"/>
      <c r="R196" s="18"/>
      <c r="S196" s="18"/>
      <c r="T196" s="18"/>
      <c r="U196" s="17">
        <v>0</v>
      </c>
      <c r="V196" s="17">
        <v>0</v>
      </c>
      <c r="W196" s="17"/>
      <c r="Y196" s="30"/>
      <c r="Z196" s="30"/>
      <c r="AA196" s="30"/>
      <c r="AB196" s="30"/>
      <c r="AC196" s="30"/>
      <c r="AD196" s="30"/>
      <c r="AE196" s="30"/>
      <c r="AF196" s="30"/>
      <c r="AG196" s="30"/>
    </row>
    <row r="197" spans="1:33" x14ac:dyDescent="0.25">
      <c r="A197" s="9" t="s">
        <v>136</v>
      </c>
      <c r="B197" s="9" t="s">
        <v>33</v>
      </c>
      <c r="C197" s="9" t="s">
        <v>83</v>
      </c>
      <c r="D197" s="9" t="s">
        <v>371</v>
      </c>
      <c r="E197" s="9" t="s">
        <v>372</v>
      </c>
      <c r="F197" s="9" t="s">
        <v>251</v>
      </c>
      <c r="G197" s="9" t="s">
        <v>244</v>
      </c>
      <c r="H197" s="9">
        <v>2010000282</v>
      </c>
      <c r="I197" s="9" t="s">
        <v>89</v>
      </c>
      <c r="J197" s="14">
        <v>1656</v>
      </c>
      <c r="K197" s="2" t="s">
        <v>239</v>
      </c>
      <c r="L197" s="31">
        <v>121.139</v>
      </c>
      <c r="M197" s="31">
        <v>119.325</v>
      </c>
      <c r="N197" s="31">
        <v>133.44900000000001</v>
      </c>
      <c r="O197" s="18"/>
      <c r="P197" s="18"/>
      <c r="Q197" s="18"/>
      <c r="R197" s="18"/>
      <c r="S197" s="18"/>
      <c r="T197" s="18"/>
      <c r="U197" s="17"/>
      <c r="V197" s="17"/>
      <c r="W197" s="17"/>
      <c r="Y197" s="30"/>
      <c r="Z197" s="30"/>
      <c r="AA197" s="30"/>
      <c r="AB197" s="30"/>
      <c r="AC197" s="30"/>
      <c r="AD197" s="30"/>
      <c r="AE197" s="30"/>
      <c r="AF197" s="30"/>
      <c r="AG197" s="30"/>
    </row>
    <row r="198" spans="1:33" x14ac:dyDescent="0.25">
      <c r="A198" s="9" t="s">
        <v>136</v>
      </c>
      <c r="B198" s="9" t="s">
        <v>33</v>
      </c>
      <c r="C198" s="9" t="s">
        <v>83</v>
      </c>
      <c r="D198" s="9" t="s">
        <v>371</v>
      </c>
      <c r="E198" s="9" t="s">
        <v>372</v>
      </c>
      <c r="F198" s="9" t="s">
        <v>251</v>
      </c>
      <c r="G198" s="9" t="s">
        <v>244</v>
      </c>
      <c r="H198" s="9">
        <v>2010000282</v>
      </c>
      <c r="I198" s="9" t="s">
        <v>89</v>
      </c>
      <c r="J198" s="14">
        <v>1656</v>
      </c>
      <c r="K198" s="2" t="s">
        <v>240</v>
      </c>
      <c r="L198" s="31">
        <v>577519</v>
      </c>
      <c r="M198" s="31">
        <v>637224</v>
      </c>
      <c r="N198" s="31">
        <v>790044</v>
      </c>
      <c r="O198" s="18">
        <v>577525.49719999998</v>
      </c>
      <c r="P198" s="18">
        <v>637223.68149999995</v>
      </c>
      <c r="Q198" s="18">
        <v>790049.97380000004</v>
      </c>
      <c r="R198" s="18">
        <v>577525.49723500002</v>
      </c>
      <c r="S198" s="18">
        <v>637230.30052202102</v>
      </c>
      <c r="T198" s="18">
        <v>790049.97337117174</v>
      </c>
      <c r="U198" s="17"/>
      <c r="V198" s="17"/>
      <c r="W198" s="17"/>
      <c r="Y198" s="30">
        <f t="shared" ref="Y198:Z202" si="24">(O198/L198)-1</f>
        <v>1.1250192634371103E-5</v>
      </c>
      <c r="Z198" s="30">
        <f t="shared" si="24"/>
        <v>-4.9982423766525841E-7</v>
      </c>
      <c r="AA198" s="30">
        <f t="shared" si="20"/>
        <v>7.5613510133187845E-6</v>
      </c>
      <c r="AB198" s="30">
        <f t="shared" si="21"/>
        <v>1.1250253238559438E-5</v>
      </c>
      <c r="AC198" s="30">
        <f t="shared" si="22"/>
        <v>9.887452482981729E-6</v>
      </c>
      <c r="AD198" s="30">
        <f t="shared" si="23"/>
        <v>7.5608082230615992E-6</v>
      </c>
      <c r="AE198" s="30"/>
      <c r="AF198" s="30"/>
      <c r="AG198" s="30"/>
    </row>
    <row r="199" spans="1:33" x14ac:dyDescent="0.25">
      <c r="A199" s="9" t="s">
        <v>137</v>
      </c>
      <c r="B199" s="9" t="s">
        <v>443</v>
      </c>
      <c r="C199" s="9" t="s">
        <v>84</v>
      </c>
      <c r="D199" s="9" t="s">
        <v>373</v>
      </c>
      <c r="E199" s="9" t="s">
        <v>374</v>
      </c>
      <c r="F199" s="9" t="s">
        <v>375</v>
      </c>
      <c r="G199" s="9" t="s">
        <v>302</v>
      </c>
      <c r="H199" s="20">
        <v>2007000629</v>
      </c>
      <c r="I199" s="9"/>
      <c r="J199" s="16">
        <v>1475</v>
      </c>
      <c r="K199" s="2" t="s">
        <v>237</v>
      </c>
      <c r="L199" s="31">
        <v>226.303</v>
      </c>
      <c r="M199" s="31">
        <v>152.023</v>
      </c>
      <c r="N199" s="31">
        <v>173.85</v>
      </c>
      <c r="O199" s="18">
        <v>226.0026</v>
      </c>
      <c r="P199" s="18">
        <v>151.80799999999999</v>
      </c>
      <c r="Q199" s="18">
        <v>173.697</v>
      </c>
      <c r="R199" s="18"/>
      <c r="S199" s="18"/>
      <c r="T199" s="18"/>
      <c r="U199" s="17">
        <v>226.3</v>
      </c>
      <c r="V199" s="17">
        <v>152.01599999999999</v>
      </c>
      <c r="W199" s="17"/>
      <c r="Y199" s="30">
        <f t="shared" si="24"/>
        <v>-1.3274238520920578E-3</v>
      </c>
      <c r="Z199" s="30">
        <f t="shared" si="24"/>
        <v>-1.4142596843899069E-3</v>
      </c>
      <c r="AA199" s="30">
        <f t="shared" ref="AA199:AA202" si="25">(Q199/N199)-1</f>
        <v>-8.8006902502146822E-4</v>
      </c>
      <c r="AB199" s="30"/>
      <c r="AC199" s="30"/>
      <c r="AD199" s="30"/>
      <c r="AE199" s="30">
        <f t="shared" ref="AE199" si="26">(U199/L199)-1</f>
        <v>-1.3256563103358765E-5</v>
      </c>
      <c r="AF199" s="30">
        <f t="shared" ref="AF199" si="27">(V199/M199)-1</f>
        <v>-4.6045664143012921E-5</v>
      </c>
      <c r="AG199" s="30"/>
    </row>
    <row r="200" spans="1:33" x14ac:dyDescent="0.25">
      <c r="A200" s="9" t="s">
        <v>137</v>
      </c>
      <c r="B200" s="9" t="s">
        <v>71</v>
      </c>
      <c r="C200" s="9" t="s">
        <v>84</v>
      </c>
      <c r="D200" s="9" t="s">
        <v>373</v>
      </c>
      <c r="E200" s="9" t="s">
        <v>374</v>
      </c>
      <c r="F200" s="9" t="s">
        <v>375</v>
      </c>
      <c r="G200" s="9" t="s">
        <v>302</v>
      </c>
      <c r="H200" s="20">
        <v>2007000629</v>
      </c>
      <c r="I200" s="9"/>
      <c r="J200" s="16">
        <v>1475</v>
      </c>
      <c r="K200" s="2" t="s">
        <v>238</v>
      </c>
      <c r="L200" s="31">
        <v>0</v>
      </c>
      <c r="M200" s="31">
        <v>0</v>
      </c>
      <c r="N200" s="31">
        <v>0</v>
      </c>
      <c r="O200" s="18"/>
      <c r="P200" s="18"/>
      <c r="Q200" s="18"/>
      <c r="R200" s="18"/>
      <c r="S200" s="18"/>
      <c r="T200" s="18"/>
      <c r="U200" s="17">
        <v>0</v>
      </c>
      <c r="V200" s="17">
        <v>0.74</v>
      </c>
      <c r="W200" s="17"/>
      <c r="Y200" s="30"/>
      <c r="Z200" s="30"/>
      <c r="AA200" s="30"/>
      <c r="AB200" s="30"/>
      <c r="AC200" s="30"/>
      <c r="AD200" s="30"/>
      <c r="AE200" s="30"/>
      <c r="AF200" s="30"/>
      <c r="AG200" s="30"/>
    </row>
    <row r="201" spans="1:33" x14ac:dyDescent="0.25">
      <c r="A201" s="9" t="s">
        <v>137</v>
      </c>
      <c r="B201" s="9" t="s">
        <v>71</v>
      </c>
      <c r="C201" s="9" t="s">
        <v>84</v>
      </c>
      <c r="D201" s="9" t="s">
        <v>373</v>
      </c>
      <c r="E201" s="9" t="s">
        <v>374</v>
      </c>
      <c r="F201" s="9" t="s">
        <v>375</v>
      </c>
      <c r="G201" s="9" t="s">
        <v>302</v>
      </c>
      <c r="H201" s="20">
        <v>2007000629</v>
      </c>
      <c r="I201" s="9"/>
      <c r="J201" s="16">
        <v>1475</v>
      </c>
      <c r="K201" s="2" t="s">
        <v>239</v>
      </c>
      <c r="L201" s="31">
        <v>137.49100000000001</v>
      </c>
      <c r="M201" s="31">
        <v>222.602</v>
      </c>
      <c r="N201" s="31">
        <v>241.071</v>
      </c>
      <c r="O201" s="18"/>
      <c r="P201" s="18"/>
      <c r="Q201" s="18"/>
      <c r="R201" s="18"/>
      <c r="S201" s="18"/>
      <c r="T201" s="18"/>
      <c r="U201" s="17"/>
      <c r="V201" s="17"/>
      <c r="W201" s="17"/>
      <c r="Y201" s="30"/>
      <c r="Z201" s="30"/>
      <c r="AA201" s="30"/>
      <c r="AB201" s="30"/>
      <c r="AC201" s="30"/>
      <c r="AD201" s="30"/>
      <c r="AE201" s="30"/>
      <c r="AF201" s="30"/>
      <c r="AG201" s="30"/>
    </row>
    <row r="202" spans="1:33" x14ac:dyDescent="0.25">
      <c r="A202" s="9" t="s">
        <v>137</v>
      </c>
      <c r="B202" s="9" t="s">
        <v>71</v>
      </c>
      <c r="C202" s="9" t="s">
        <v>84</v>
      </c>
      <c r="D202" s="9" t="s">
        <v>373</v>
      </c>
      <c r="E202" s="9" t="s">
        <v>374</v>
      </c>
      <c r="F202" s="9" t="s">
        <v>375</v>
      </c>
      <c r="G202" s="9" t="s">
        <v>302</v>
      </c>
      <c r="H202" s="20">
        <v>2007000629</v>
      </c>
      <c r="I202" s="9"/>
      <c r="J202" s="16">
        <v>1475</v>
      </c>
      <c r="K202" s="2" t="s">
        <v>240</v>
      </c>
      <c r="L202" s="31">
        <v>870258</v>
      </c>
      <c r="M202" s="31">
        <v>577930</v>
      </c>
      <c r="N202" s="31">
        <v>798715</v>
      </c>
      <c r="O202" s="18">
        <v>868898.32149999996</v>
      </c>
      <c r="P202" s="18">
        <v>576591.54929999996</v>
      </c>
      <c r="Q202" s="18">
        <v>797574.90670000005</v>
      </c>
      <c r="R202" s="18">
        <v>870258.28495408315</v>
      </c>
      <c r="S202" s="18">
        <v>577930.0906802332</v>
      </c>
      <c r="T202" s="18">
        <v>798715.36729879514</v>
      </c>
      <c r="U202" s="17"/>
      <c r="V202" s="17"/>
      <c r="W202" s="17"/>
      <c r="Y202" s="30">
        <f t="shared" si="24"/>
        <v>-1.562385522454357E-3</v>
      </c>
      <c r="Z202" s="30">
        <f t="shared" si="24"/>
        <v>-2.3159391275761054E-3</v>
      </c>
      <c r="AA202" s="30">
        <f t="shared" si="25"/>
        <v>-1.4274094013508876E-3</v>
      </c>
      <c r="AB202" s="30">
        <f t="shared" ref="AB202" si="28">(R202/L202)-1</f>
        <v>3.2743632716325521E-7</v>
      </c>
      <c r="AC202" s="30">
        <f t="shared" ref="AC202" si="29">(S202/M202)-1</f>
        <v>1.5690521903977128E-7</v>
      </c>
      <c r="AD202" s="30">
        <f t="shared" ref="AD202" si="30">(T202/N202)-1</f>
        <v>4.598621474727338E-7</v>
      </c>
      <c r="AE202" s="30"/>
      <c r="AF202" s="30"/>
      <c r="AG202" s="30"/>
    </row>
  </sheetData>
  <mergeCells count="17">
    <mergeCell ref="X39:X42"/>
    <mergeCell ref="AB1:AD1"/>
    <mergeCell ref="AE1:AG1"/>
    <mergeCell ref="X3:X6"/>
    <mergeCell ref="AH2:AJ2"/>
    <mergeCell ref="X19:X22"/>
    <mergeCell ref="AH25:AL25"/>
    <mergeCell ref="AN8:AR8"/>
    <mergeCell ref="L1:N1"/>
    <mergeCell ref="O1:Q1"/>
    <mergeCell ref="R1:T1"/>
    <mergeCell ref="U1:W1"/>
    <mergeCell ref="Y1:AA1"/>
    <mergeCell ref="AN2:AO2"/>
    <mergeCell ref="AN4:AR4"/>
    <mergeCell ref="AN5:AR5"/>
    <mergeCell ref="AN6:AR6"/>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Analisi dati, formula corretta</vt:lpstr>
      <vt:lpstr>Confronto delle emissioni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Casa</dc:creator>
  <cp:lastModifiedBy>Casa</cp:lastModifiedBy>
  <dcterms:created xsi:type="dcterms:W3CDTF">2021-08-10T10:39:05Z</dcterms:created>
  <dcterms:modified xsi:type="dcterms:W3CDTF">2022-03-23T23:06:37Z</dcterms:modified>
</cp:coreProperties>
</file>